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eranzaC\Desktop\Projects offline\04. Solsville Spillway\2.Spreadsheet\2.5.Infiltration calculations\"/>
    </mc:Choice>
  </mc:AlternateContent>
  <xr:revisionPtr revIDLastSave="0" documentId="13_ncr:1_{6CB06A2C-A697-4541-BFB1-DFD6EA097820}" xr6:coauthVersionLast="47" xr6:coauthVersionMax="47" xr10:uidLastSave="{00000000-0000-0000-0000-000000000000}"/>
  <bookViews>
    <workbookView xWindow="-120" yWindow="-120" windowWidth="29040" windowHeight="15720" firstSheet="1" activeTab="1" xr2:uid="{99253130-0273-4949-AF31-49B2633F6649}"/>
  </bookViews>
  <sheets>
    <sheet name="Loss Method OLD" sheetId="3" state="hidden" r:id="rId1"/>
    <sheet name="Initial and Loss Method" sheetId="1" r:id="rId2"/>
    <sheet name="Lag Method OLD" sheetId="6" state="hidden" r:id="rId3"/>
    <sheet name="Velocity Method" sheetId="2" state="hidden" r:id="rId4"/>
    <sheet name="Velocity Method OLD" sheetId="5" state="hidden" r:id="rId5"/>
    <sheet name="Velocity Method References" sheetId="4" state="hidden" r:id="rId6"/>
  </sheets>
  <definedNames>
    <definedName name="CN">'Initial and Loss Method'!$D$7</definedName>
    <definedName name="_xlnm.Print_Area" localSheetId="1">'Initial and Loss Method'!$A$1:$L$7</definedName>
    <definedName name="S">'Initial and Loss Method'!$F$7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H7" i="1" s="1"/>
  <c r="B36" i="2" l="1"/>
  <c r="B37" i="2" l="1"/>
  <c r="F13" i="6" l="1"/>
  <c r="G13" i="6" s="1"/>
  <c r="I13" i="6" s="1"/>
  <c r="J13" i="6" s="1"/>
  <c r="D13" i="6"/>
  <c r="F12" i="6"/>
  <c r="G12" i="6" s="1"/>
  <c r="D12" i="6"/>
  <c r="F11" i="6"/>
  <c r="G11" i="6" s="1"/>
  <c r="I11" i="6" s="1"/>
  <c r="J11" i="6" s="1"/>
  <c r="D11" i="6"/>
  <c r="F10" i="6"/>
  <c r="G10" i="6" s="1"/>
  <c r="D10" i="6"/>
  <c r="F9" i="6"/>
  <c r="G9" i="6" s="1"/>
  <c r="D9" i="6"/>
  <c r="H39" i="2"/>
  <c r="H15" i="2"/>
  <c r="L15" i="2"/>
  <c r="F15" i="2"/>
  <c r="D15" i="2"/>
  <c r="K15" i="2"/>
  <c r="J15" i="2"/>
  <c r="G15" i="2"/>
  <c r="E15" i="2"/>
  <c r="C15" i="2"/>
  <c r="B15" i="2"/>
  <c r="H11" i="6" l="1"/>
  <c r="I12" i="6"/>
  <c r="J12" i="6" s="1"/>
  <c r="H13" i="6"/>
  <c r="I9" i="6"/>
  <c r="J9" i="6" s="1"/>
  <c r="I10" i="6"/>
  <c r="J10" i="6" s="1"/>
  <c r="H12" i="6"/>
  <c r="H9" i="6"/>
  <c r="H10" i="6"/>
  <c r="B40" i="5" l="1"/>
  <c r="B42" i="5" s="1"/>
  <c r="B43" i="5" s="1"/>
  <c r="B44" i="5" s="1"/>
  <c r="B33" i="5"/>
  <c r="B35" i="5" s="1"/>
  <c r="K30" i="5"/>
  <c r="K33" i="5" s="1"/>
  <c r="K35" i="5" s="1"/>
  <c r="J30" i="5"/>
  <c r="J33" i="5" s="1"/>
  <c r="J35" i="5" s="1"/>
  <c r="B30" i="5"/>
  <c r="L29" i="5"/>
  <c r="K29" i="5"/>
  <c r="J29" i="5"/>
  <c r="I29" i="5"/>
  <c r="H29" i="5"/>
  <c r="G29" i="5"/>
  <c r="F29" i="5"/>
  <c r="D29" i="5"/>
  <c r="D30" i="5" s="1"/>
  <c r="D33" i="5" s="1"/>
  <c r="D35" i="5" s="1"/>
  <c r="C29" i="5"/>
  <c r="B29" i="5"/>
  <c r="L28" i="5"/>
  <c r="K28" i="5"/>
  <c r="J28" i="5"/>
  <c r="I28" i="5"/>
  <c r="I30" i="5" s="1"/>
  <c r="I33" i="5" s="1"/>
  <c r="I35" i="5" s="1"/>
  <c r="H28" i="5"/>
  <c r="H30" i="5" s="1"/>
  <c r="H33" i="5" s="1"/>
  <c r="H35" i="5" s="1"/>
  <c r="G28" i="5"/>
  <c r="G30" i="5" s="1"/>
  <c r="G33" i="5" s="1"/>
  <c r="G35" i="5" s="1"/>
  <c r="F28" i="5"/>
  <c r="F30" i="5" s="1"/>
  <c r="F33" i="5" s="1"/>
  <c r="F35" i="5" s="1"/>
  <c r="D28" i="5"/>
  <c r="C28" i="5"/>
  <c r="C30" i="5" s="1"/>
  <c r="C33" i="5" s="1"/>
  <c r="C35" i="5" s="1"/>
  <c r="B28" i="5"/>
  <c r="L22" i="5"/>
  <c r="K22" i="5"/>
  <c r="J22" i="5"/>
  <c r="H22" i="5"/>
  <c r="G22" i="5"/>
  <c r="E22" i="5"/>
  <c r="D22" i="5"/>
  <c r="C22" i="5"/>
  <c r="K19" i="5"/>
  <c r="H19" i="5"/>
  <c r="F19" i="5"/>
  <c r="F22" i="5" s="1"/>
  <c r="D19" i="5"/>
  <c r="B19" i="5"/>
  <c r="B22" i="5" s="1"/>
  <c r="K15" i="5"/>
  <c r="K45" i="5" s="1"/>
  <c r="K46" i="5" s="1"/>
  <c r="H15" i="5"/>
  <c r="H45" i="5" s="1"/>
  <c r="H46" i="5" s="1"/>
  <c r="F15" i="5"/>
  <c r="F45" i="5" s="1"/>
  <c r="F46" i="5" s="1"/>
  <c r="D15" i="5"/>
  <c r="B15" i="5"/>
  <c r="D6" i="3"/>
  <c r="D7" i="3"/>
  <c r="D8" i="3"/>
  <c r="D9" i="3"/>
  <c r="D5" i="3"/>
  <c r="K22" i="2"/>
  <c r="K23" i="2"/>
  <c r="B45" i="5" l="1"/>
  <c r="B46" i="5" s="1"/>
  <c r="D45" i="5"/>
  <c r="D46" i="5" s="1"/>
  <c r="K24" i="2"/>
  <c r="K27" i="2" s="1"/>
  <c r="K29" i="2" s="1"/>
  <c r="B23" i="2"/>
  <c r="B22" i="2"/>
  <c r="D23" i="2"/>
  <c r="D22" i="2"/>
  <c r="E16" i="2"/>
  <c r="D16" i="2"/>
  <c r="D9" i="2"/>
  <c r="C16" i="2"/>
  <c r="B16" i="2"/>
  <c r="B9" i="2"/>
  <c r="B34" i="2"/>
  <c r="D24" i="2" l="1"/>
  <c r="D27" i="2" s="1"/>
  <c r="D29" i="2" s="1"/>
  <c r="D37" i="2" s="1"/>
  <c r="D38" i="2" s="1"/>
  <c r="D39" i="2" s="1"/>
  <c r="B24" i="2"/>
  <c r="J23" i="2" l="1"/>
  <c r="L23" i="2"/>
  <c r="I23" i="2"/>
  <c r="H23" i="2"/>
  <c r="G23" i="2"/>
  <c r="F23" i="2"/>
  <c r="C23" i="2"/>
  <c r="L22" i="2"/>
  <c r="J22" i="2"/>
  <c r="I22" i="2"/>
  <c r="H22" i="2"/>
  <c r="G22" i="2"/>
  <c r="F22" i="2"/>
  <c r="C22" i="2"/>
  <c r="C24" i="2" l="1"/>
  <c r="C27" i="2" s="1"/>
  <c r="C29" i="2" s="1"/>
  <c r="K16" i="2"/>
  <c r="H16" i="2"/>
  <c r="I24" i="2"/>
  <c r="I27" i="2" s="1"/>
  <c r="I29" i="2" s="1"/>
  <c r="H24" i="2"/>
  <c r="H27" i="2" s="1"/>
  <c r="H29" i="2" s="1"/>
  <c r="G16" i="2"/>
  <c r="G24" i="2"/>
  <c r="G27" i="2" s="1"/>
  <c r="G29" i="2" s="1"/>
  <c r="F24" i="2" l="1"/>
  <c r="F27" i="2" s="1"/>
  <c r="F29" i="2" s="1"/>
  <c r="J24" i="2"/>
  <c r="J27" i="2" s="1"/>
  <c r="J29" i="2" s="1"/>
  <c r="B27" i="2"/>
  <c r="B29" i="2" s="1"/>
  <c r="F16" i="2"/>
  <c r="J16" i="2"/>
  <c r="L16" i="2"/>
  <c r="F9" i="2"/>
  <c r="H9" i="2"/>
  <c r="K9" i="2"/>
  <c r="K37" i="2" l="1"/>
  <c r="K38" i="2" s="1"/>
  <c r="K39" i="2" s="1"/>
  <c r="H37" i="2"/>
  <c r="H38" i="2" s="1"/>
  <c r="F37" i="2"/>
  <c r="F38" i="2" s="1"/>
  <c r="F39" i="2" s="1"/>
  <c r="B38" i="2"/>
  <c r="B3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tc={18E3466E-8613-45DA-BD4E-C525C6D4D1E0}</author>
  </authors>
  <commentList>
    <comment ref="A15" authorId="0" shapeId="0" xr:uid="{18E3466E-8613-45DA-BD4E-C525C6D4D1E0}">
      <text>
        <t>[Threaded comment]
Your version of Excel allows you to read this threaded comment; however, any edits to it will get removed if the file is opened in a newer version of Excel. Learn more: https://go.microsoft.com/fwlink/?linkid=870924
Comment:
    Where do the coefficients come from?</t>
      </text>
    </comment>
  </commentList>
</comments>
</file>

<file path=xl/sharedStrings.xml><?xml version="1.0" encoding="utf-8"?>
<sst xmlns="http://schemas.openxmlformats.org/spreadsheetml/2006/main" count="252" uniqueCount="101">
  <si>
    <t>DESIGN:</t>
  </si>
  <si>
    <t>K. Schell</t>
  </si>
  <si>
    <t>CHECK:</t>
  </si>
  <si>
    <t>DATE:</t>
  </si>
  <si>
    <t>PROJECT NAME:</t>
  </si>
  <si>
    <t>SCS Unit Hydrograph Watershed Lag Method</t>
  </si>
  <si>
    <t>Subbasin</t>
  </si>
  <si>
    <t>Graph Type</t>
  </si>
  <si>
    <t>Flow Length, l</t>
  </si>
  <si>
    <t>Ave. Watershed Land Slope, Y</t>
  </si>
  <si>
    <t>Retardence Factor, cn'</t>
  </si>
  <si>
    <t>Max Potential Retention, S</t>
  </si>
  <si>
    <t>Time of Concentration</t>
  </si>
  <si>
    <t>Lag Time, L</t>
  </si>
  <si>
    <t>(-)</t>
  </si>
  <si>
    <t>(ft.)</t>
  </si>
  <si>
    <t>(%)</t>
  </si>
  <si>
    <t>(in.)</t>
  </si>
  <si>
    <t>(hr)</t>
  </si>
  <si>
    <t>(min)</t>
  </si>
  <si>
    <t>Standard (PRF 484)</t>
  </si>
  <si>
    <t>Bow Lake Dam Watershed Hydrologic Modeling</t>
  </si>
  <si>
    <t>Area</t>
  </si>
  <si>
    <t>Curve Number - Conservative</t>
  </si>
  <si>
    <t>Initial Abstraction</t>
  </si>
  <si>
    <t>Curve Number</t>
  </si>
  <si>
    <t>(sq. mi.)</t>
  </si>
  <si>
    <r>
      <t>I</t>
    </r>
    <r>
      <rPr>
        <vertAlign val="subscript"/>
        <sz val="10"/>
        <rFont val="Arial"/>
        <family val="2"/>
      </rPr>
      <t>a</t>
    </r>
    <r>
      <rPr>
        <sz val="10"/>
        <rFont val="Arial"/>
        <family val="2"/>
      </rPr>
      <t xml:space="preserve"> = 0.2 x S, where S = (1000/CN-10)</t>
    </r>
  </si>
  <si>
    <t>Sheet Flow</t>
  </si>
  <si>
    <t>Surface Description</t>
  </si>
  <si>
    <t>Manning's Roughness Coefficient, n</t>
  </si>
  <si>
    <t>Flow Length, L (ft)</t>
  </si>
  <si>
    <t>Shallow Concentrated Flow</t>
  </si>
  <si>
    <t>Surface Description (Paved/Unpaved)</t>
  </si>
  <si>
    <t>Watercourse Slope, s (ft/ft)</t>
  </si>
  <si>
    <t>Land Slope, s (ft/ft)</t>
  </si>
  <si>
    <r>
      <t>Two-Year, 24-Hour Rainfall, P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(in)</t>
    </r>
  </si>
  <si>
    <r>
      <t>T</t>
    </r>
    <r>
      <rPr>
        <b/>
        <vertAlign val="subscript"/>
        <sz val="10"/>
        <color theme="1"/>
        <rFont val="Arial"/>
        <family val="2"/>
      </rPr>
      <t>t</t>
    </r>
    <r>
      <rPr>
        <b/>
        <sz val="10"/>
        <color theme="1"/>
        <rFont val="Arial"/>
        <family val="2"/>
      </rPr>
      <t xml:space="preserve"> (hr)</t>
    </r>
  </si>
  <si>
    <t>Subbasin 1</t>
  </si>
  <si>
    <t>Subbasin 2</t>
  </si>
  <si>
    <t>Subbasin 3</t>
  </si>
  <si>
    <t>Subbasin 4</t>
  </si>
  <si>
    <t>Subbasin 5</t>
  </si>
  <si>
    <t>Average Velocity, v (ft/s)</t>
  </si>
  <si>
    <t>Channel Flow</t>
  </si>
  <si>
    <r>
      <t>Cross Sectional Flow Area, a (ft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)</t>
    </r>
  </si>
  <si>
    <r>
      <t xml:space="preserve">Wetted Perimeter, </t>
    </r>
    <r>
      <rPr>
        <b/>
        <sz val="10"/>
        <color theme="1"/>
        <rFont val="Calibri"/>
        <family val="2"/>
      </rPr>
      <t>ρ</t>
    </r>
    <r>
      <rPr>
        <b/>
        <vertAlign val="subscript"/>
        <sz val="10"/>
        <color theme="1"/>
        <rFont val="Arial"/>
        <family val="2"/>
      </rPr>
      <t>w</t>
    </r>
    <r>
      <rPr>
        <b/>
        <sz val="10"/>
        <color theme="1"/>
        <rFont val="Arial"/>
        <family val="2"/>
      </rPr>
      <t xml:space="preserve"> (ft)</t>
    </r>
  </si>
  <si>
    <t>Hydraulic Radius, r (ft)</t>
  </si>
  <si>
    <t>Channel Slope, s (ft/ft)</t>
  </si>
  <si>
    <t>Average Velocity, V (ft/s)</t>
  </si>
  <si>
    <r>
      <t>T</t>
    </r>
    <r>
      <rPr>
        <b/>
        <vertAlign val="subscript"/>
        <sz val="10"/>
        <color theme="1"/>
        <rFont val="Arial"/>
        <family val="2"/>
      </rPr>
      <t>c</t>
    </r>
    <r>
      <rPr>
        <b/>
        <sz val="10"/>
        <color theme="1"/>
        <rFont val="Arial"/>
        <family val="2"/>
      </rPr>
      <t xml:space="preserve"> (hr)</t>
    </r>
  </si>
  <si>
    <t>SCS Unit Hydrograph Watershed Velocity Method</t>
  </si>
  <si>
    <t>(mi.)</t>
  </si>
  <si>
    <t>Unpaved</t>
  </si>
  <si>
    <t>Woods, Dense Underbrush</t>
  </si>
  <si>
    <t>Cultivated Soils, Residue Cover &gt;20%</t>
  </si>
  <si>
    <t>Short Grass Prairie</t>
  </si>
  <si>
    <t>Segment 1</t>
  </si>
  <si>
    <t>Segment 2</t>
  </si>
  <si>
    <t>Segment 3</t>
  </si>
  <si>
    <t>Segment</t>
  </si>
  <si>
    <t>Channel Width, Top (ft)</t>
  </si>
  <si>
    <t>Channel Width, Bottom (ft)</t>
  </si>
  <si>
    <t>Wave Celerity</t>
  </si>
  <si>
    <t>d (ft)</t>
  </si>
  <si>
    <t>c (ft/s)</t>
  </si>
  <si>
    <t>L (ft)</t>
  </si>
  <si>
    <t>t (s)</t>
  </si>
  <si>
    <t>t (min)</t>
  </si>
  <si>
    <t>t (hr)</t>
  </si>
  <si>
    <r>
      <t>g (ft/s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)</t>
    </r>
  </si>
  <si>
    <t>Bow Lake</t>
  </si>
  <si>
    <t>Reservoir</t>
  </si>
  <si>
    <t>Channel Depth (ft)</t>
  </si>
  <si>
    <r>
      <t>T</t>
    </r>
    <r>
      <rPr>
        <b/>
        <vertAlign val="subscript"/>
        <sz val="10"/>
        <color theme="1"/>
        <rFont val="Arial"/>
        <family val="2"/>
      </rPr>
      <t>c</t>
    </r>
    <r>
      <rPr>
        <b/>
        <sz val="10"/>
        <color theme="1"/>
        <rFont val="Arial"/>
        <family val="2"/>
      </rPr>
      <t xml:space="preserve"> (min)</t>
    </r>
  </si>
  <si>
    <t>SCS Curve Number</t>
  </si>
  <si>
    <t>Impervious</t>
  </si>
  <si>
    <t>Grass</t>
  </si>
  <si>
    <t>Lag (min)</t>
  </si>
  <si>
    <t>Forest</t>
  </si>
  <si>
    <t>Pasture</t>
  </si>
  <si>
    <t>Source</t>
  </si>
  <si>
    <t>NLCD</t>
  </si>
  <si>
    <t>NOAA Atlas 14</t>
  </si>
  <si>
    <t>NEH Table 15-3</t>
  </si>
  <si>
    <t>GIS</t>
  </si>
  <si>
    <t>Standard Value</t>
  </si>
  <si>
    <t>PROJECT:</t>
  </si>
  <si>
    <t>(inches)</t>
  </si>
  <si>
    <t>12420 Milestone Center Drive
Suite 150
Germantown, MD 20876</t>
  </si>
  <si>
    <t>Retardence Factor, CN</t>
  </si>
  <si>
    <t>CSP</t>
  </si>
  <si>
    <t>Solsville Dam Breach Analysis</t>
  </si>
  <si>
    <t>(inches/hour)</t>
  </si>
  <si>
    <r>
      <t>Initial Loss (Initial Abstraction), I</t>
    </r>
    <r>
      <rPr>
        <b/>
        <vertAlign val="subscript"/>
        <sz val="10"/>
        <rFont val="Arial Narrow"/>
        <family val="2"/>
      </rPr>
      <t>a</t>
    </r>
  </si>
  <si>
    <r>
      <t>Constant Loss Rate (Saturated Hydraulic Conductivity), f</t>
    </r>
    <r>
      <rPr>
        <b/>
        <vertAlign val="subscript"/>
        <sz val="10"/>
        <rFont val="Arial Narrow"/>
        <family val="2"/>
      </rPr>
      <t>c</t>
    </r>
    <r>
      <rPr>
        <b/>
        <sz val="10"/>
        <rFont val="Arial Narrow"/>
        <family val="2"/>
      </rPr>
      <t xml:space="preserve">
	​</t>
    </r>
  </si>
  <si>
    <t>Impervious Area</t>
  </si>
  <si>
    <t>Initial and Constant Loss Method Calculations</t>
  </si>
  <si>
    <t>Watershed Area</t>
  </si>
  <si>
    <r>
      <t>(mi</t>
    </r>
    <r>
      <rPr>
        <b/>
        <vertAlign val="superscript"/>
        <sz val="10"/>
        <rFont val="Arial Narrow"/>
        <family val="2"/>
      </rPr>
      <t>2</t>
    </r>
    <r>
      <rPr>
        <b/>
        <sz val="10"/>
        <rFont val="Arial Narrow"/>
        <family val="2"/>
      </rPr>
      <t>)</t>
    </r>
  </si>
  <si>
    <t>(acres)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</si>
</sst>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#,##0.0"/>
    <numFmt numFmtId="167" formatCode="#,##0.000"/>
    <numFmt numFmtId="168" formatCode="[$-409]d\-mmm\-yyyy;@"/>
  </numFmts>
  <fonts count="19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vertAlign val="subscript"/>
      <sz val="10"/>
      <name val="Arial"/>
      <family val="2"/>
    </font>
    <font>
      <b/>
      <sz val="10"/>
      <color theme="1"/>
      <name val="Arial"/>
      <family val="2"/>
    </font>
    <font>
      <b/>
      <vertAlign val="subscript"/>
      <sz val="10"/>
      <color theme="1"/>
      <name val="Arial"/>
      <family val="2"/>
    </font>
    <font>
      <sz val="8"/>
      <name val="Calibri"/>
      <family val="2"/>
      <scheme val="minor"/>
    </font>
    <font>
      <b/>
      <vertAlign val="superscript"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vertAlign val="subscript"/>
      <sz val="10"/>
      <name val="Arial Narrow"/>
      <family val="2"/>
    </font>
    <font>
      <b/>
      <vertAlign val="superscript"/>
      <sz val="1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3" borderId="1" applyNumberFormat="0" applyAlignment="0" applyProtection="0"/>
    <xf numFmtId="0" fontId="5" fillId="0" borderId="0"/>
  </cellStyleXfs>
  <cellXfs count="237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15" fontId="4" fillId="0" borderId="3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1" applyFont="1" applyFill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7" xfId="0" applyFont="1" applyBorder="1" applyAlignment="1">
      <alignment horizontal="center" vertical="center" wrapText="1"/>
    </xf>
    <xf numFmtId="1" fontId="5" fillId="0" borderId="9" xfId="1" applyNumberFormat="1" applyFont="1" applyFill="1" applyBorder="1" applyAlignment="1">
      <alignment horizontal="center" vertical="center"/>
    </xf>
    <xf numFmtId="1" fontId="5" fillId="0" borderId="11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4" borderId="10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2" fontId="4" fillId="5" borderId="13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3" fontId="4" fillId="4" borderId="4" xfId="0" applyNumberFormat="1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horizontal="center" vertical="center"/>
    </xf>
    <xf numFmtId="4" fontId="4" fillId="4" borderId="10" xfId="0" applyNumberFormat="1" applyFont="1" applyFill="1" applyBorder="1" applyAlignment="1">
      <alignment horizontal="center" vertical="center"/>
    </xf>
    <xf numFmtId="3" fontId="4" fillId="4" borderId="10" xfId="0" applyNumberFormat="1" applyFont="1" applyFill="1" applyBorder="1" applyAlignment="1">
      <alignment horizontal="center" vertical="center"/>
    </xf>
    <xf numFmtId="4" fontId="4" fillId="5" borderId="4" xfId="0" applyNumberFormat="1" applyFont="1" applyFill="1" applyBorder="1" applyAlignment="1">
      <alignment horizontal="center" vertical="center"/>
    </xf>
    <xf numFmtId="4" fontId="4" fillId="5" borderId="10" xfId="0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3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164" fontId="5" fillId="0" borderId="4" xfId="3" applyNumberFormat="1" applyFont="1" applyFill="1" applyBorder="1" applyAlignment="1">
      <alignment horizontal="center" vertical="center"/>
    </xf>
    <xf numFmtId="165" fontId="5" fillId="0" borderId="4" xfId="3" applyNumberFormat="1" applyFont="1" applyFill="1" applyBorder="1" applyAlignment="1">
      <alignment horizontal="center" vertical="center"/>
    </xf>
    <xf numFmtId="165" fontId="5" fillId="0" borderId="4" xfId="2" applyNumberFormat="1" applyFont="1" applyFill="1" applyBorder="1" applyAlignment="1">
      <alignment horizontal="center" vertical="center"/>
    </xf>
    <xf numFmtId="164" fontId="5" fillId="0" borderId="10" xfId="2" applyNumberFormat="1" applyFont="1" applyFill="1" applyBorder="1" applyAlignment="1">
      <alignment horizontal="center" vertical="center"/>
    </xf>
    <xf numFmtId="2" fontId="5" fillId="0" borderId="12" xfId="1" applyNumberFormat="1" applyFont="1" applyFill="1" applyBorder="1" applyAlignment="1">
      <alignment horizontal="center" vertical="center"/>
    </xf>
    <xf numFmtId="3" fontId="5" fillId="0" borderId="12" xfId="1" applyNumberFormat="1" applyFont="1" applyFill="1" applyBorder="1" applyAlignment="1">
      <alignment horizontal="center" vertical="center"/>
    </xf>
    <xf numFmtId="164" fontId="5" fillId="0" borderId="12" xfId="1" applyNumberFormat="1" applyFont="1" applyFill="1" applyBorder="1" applyAlignment="1">
      <alignment horizontal="center" vertical="center"/>
    </xf>
    <xf numFmtId="164" fontId="5" fillId="0" borderId="12" xfId="3" applyNumberFormat="1" applyFont="1" applyFill="1" applyBorder="1" applyAlignment="1">
      <alignment horizontal="center" vertical="center"/>
    </xf>
    <xf numFmtId="165" fontId="5" fillId="0" borderId="12" xfId="3" applyNumberFormat="1" applyFont="1" applyFill="1" applyBorder="1" applyAlignment="1">
      <alignment horizontal="center" vertical="center"/>
    </xf>
    <xf numFmtId="165" fontId="5" fillId="0" borderId="12" xfId="2" applyNumberFormat="1" applyFont="1" applyFill="1" applyBorder="1" applyAlignment="1">
      <alignment horizontal="center" vertical="center"/>
    </xf>
    <xf numFmtId="164" fontId="5" fillId="0" borderId="13" xfId="2" applyNumberFormat="1" applyFont="1" applyFill="1" applyBorder="1" applyAlignment="1">
      <alignment horizontal="center" vertical="center"/>
    </xf>
    <xf numFmtId="167" fontId="4" fillId="4" borderId="4" xfId="0" applyNumberFormat="1" applyFont="1" applyFill="1" applyBorder="1" applyAlignment="1">
      <alignment horizontal="center" vertical="center"/>
    </xf>
    <xf numFmtId="167" fontId="4" fillId="4" borderId="10" xfId="0" applyNumberFormat="1" applyFont="1" applyFill="1" applyBorder="1" applyAlignment="1">
      <alignment horizontal="center" vertical="center"/>
    </xf>
    <xf numFmtId="4" fontId="4" fillId="4" borderId="9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167" fontId="4" fillId="4" borderId="9" xfId="0" applyNumberFormat="1" applyFont="1" applyFill="1" applyBorder="1" applyAlignment="1">
      <alignment horizontal="center" vertical="center"/>
    </xf>
    <xf numFmtId="4" fontId="4" fillId="5" borderId="11" xfId="0" applyNumberFormat="1" applyFont="1" applyFill="1" applyBorder="1" applyAlignment="1">
      <alignment horizontal="center" vertical="center"/>
    </xf>
    <xf numFmtId="4" fontId="4" fillId="5" borderId="13" xfId="0" applyNumberFormat="1" applyFont="1" applyFill="1" applyBorder="1" applyAlignment="1">
      <alignment horizontal="center" vertical="center"/>
    </xf>
    <xf numFmtId="4" fontId="4" fillId="5" borderId="12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2" fontId="4" fillId="5" borderId="11" xfId="0" applyNumberFormat="1" applyFont="1" applyFill="1" applyBorder="1" applyAlignment="1">
      <alignment horizontal="center" vertical="center"/>
    </xf>
    <xf numFmtId="4" fontId="4" fillId="5" borderId="9" xfId="0" applyNumberFormat="1" applyFont="1" applyFill="1" applyBorder="1" applyAlignment="1">
      <alignment horizontal="center" vertical="center"/>
    </xf>
    <xf numFmtId="0" fontId="9" fillId="0" borderId="23" xfId="0" applyFont="1" applyBorder="1" applyAlignment="1">
      <alignment horizontal="right" vertical="center"/>
    </xf>
    <xf numFmtId="0" fontId="9" fillId="0" borderId="24" xfId="0" applyFont="1" applyBorder="1" applyAlignment="1">
      <alignment horizontal="right" vertical="center"/>
    </xf>
    <xf numFmtId="0" fontId="9" fillId="0" borderId="25" xfId="0" applyFont="1" applyBorder="1" applyAlignment="1">
      <alignment horizontal="right" vertical="center"/>
    </xf>
    <xf numFmtId="0" fontId="6" fillId="0" borderId="22" xfId="0" applyFont="1" applyBorder="1" applyAlignment="1">
      <alignment horizontal="right" vertical="center"/>
    </xf>
    <xf numFmtId="0" fontId="9" fillId="0" borderId="28" xfId="0" applyFont="1" applyBorder="1" applyAlignment="1">
      <alignment horizontal="right" vertical="center"/>
    </xf>
    <xf numFmtId="0" fontId="9" fillId="0" borderId="22" xfId="0" applyFont="1" applyBorder="1" applyAlignment="1">
      <alignment horizontal="right" vertical="center"/>
    </xf>
    <xf numFmtId="0" fontId="4" fillId="6" borderId="29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64" fontId="4" fillId="6" borderId="0" xfId="0" applyNumberFormat="1" applyFont="1" applyFill="1" applyAlignment="1">
      <alignment horizontal="center" vertical="center"/>
    </xf>
    <xf numFmtId="3" fontId="4" fillId="6" borderId="0" xfId="0" applyNumberFormat="1" applyFont="1" applyFill="1" applyAlignment="1">
      <alignment horizontal="center" vertical="center"/>
    </xf>
    <xf numFmtId="2" fontId="4" fillId="6" borderId="0" xfId="0" applyNumberFormat="1" applyFont="1" applyFill="1" applyAlignment="1">
      <alignment horizontal="center" vertical="center"/>
    </xf>
    <xf numFmtId="0" fontId="9" fillId="6" borderId="29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2" fontId="5" fillId="0" borderId="4" xfId="3" applyNumberFormat="1" applyFont="1" applyFill="1" applyBorder="1" applyAlignment="1">
      <alignment horizontal="center" vertical="center"/>
    </xf>
    <xf numFmtId="2" fontId="5" fillId="0" borderId="12" xfId="3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" fontId="5" fillId="0" borderId="10" xfId="3" applyNumberFormat="1" applyFont="1" applyFill="1" applyBorder="1" applyAlignment="1">
      <alignment horizontal="center" vertical="center"/>
    </xf>
    <xf numFmtId="1" fontId="5" fillId="0" borderId="13" xfId="3" applyNumberFormat="1" applyFont="1" applyFill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2" fontId="5" fillId="0" borderId="37" xfId="1" applyNumberFormat="1" applyFont="1" applyFill="1" applyBorder="1" applyAlignment="1">
      <alignment horizontal="center" vertical="center"/>
    </xf>
    <xf numFmtId="2" fontId="5" fillId="0" borderId="38" xfId="1" applyNumberFormat="1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4" fontId="4" fillId="5" borderId="31" xfId="0" applyNumberFormat="1" applyFont="1" applyFill="1" applyBorder="1" applyAlignment="1">
      <alignment horizontal="center" vertical="center"/>
    </xf>
    <xf numFmtId="167" fontId="4" fillId="4" borderId="31" xfId="0" applyNumberFormat="1" applyFont="1" applyFill="1" applyBorder="1" applyAlignment="1">
      <alignment horizontal="center" vertical="center"/>
    </xf>
    <xf numFmtId="3" fontId="4" fillId="4" borderId="31" xfId="0" applyNumberFormat="1" applyFont="1" applyFill="1" applyBorder="1" applyAlignment="1">
      <alignment horizontal="center" vertical="center"/>
    </xf>
    <xf numFmtId="166" fontId="4" fillId="4" borderId="9" xfId="0" applyNumberFormat="1" applyFont="1" applyFill="1" applyBorder="1" applyAlignment="1">
      <alignment horizontal="center" vertical="center"/>
    </xf>
    <xf numFmtId="166" fontId="4" fillId="4" borderId="10" xfId="0" applyNumberFormat="1" applyFont="1" applyFill="1" applyBorder="1" applyAlignment="1">
      <alignment horizontal="center" vertical="center"/>
    </xf>
    <xf numFmtId="166" fontId="4" fillId="4" borderId="4" xfId="0" applyNumberFormat="1" applyFont="1" applyFill="1" applyBorder="1" applyAlignment="1">
      <alignment horizontal="center" vertical="center"/>
    </xf>
    <xf numFmtId="166" fontId="4" fillId="5" borderId="9" xfId="0" applyNumberFormat="1" applyFont="1" applyFill="1" applyBorder="1" applyAlignment="1">
      <alignment horizontal="center" vertical="center"/>
    </xf>
    <xf numFmtId="166" fontId="4" fillId="5" borderId="10" xfId="0" applyNumberFormat="1" applyFont="1" applyFill="1" applyBorder="1" applyAlignment="1">
      <alignment horizontal="center" vertical="center"/>
    </xf>
    <xf numFmtId="166" fontId="4" fillId="5" borderId="4" xfId="0" applyNumberFormat="1" applyFont="1" applyFill="1" applyBorder="1" applyAlignment="1">
      <alignment horizontal="center" vertical="center"/>
    </xf>
    <xf numFmtId="3" fontId="4" fillId="5" borderId="9" xfId="0" applyNumberFormat="1" applyFont="1" applyFill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3" fontId="4" fillId="5" borderId="4" xfId="0" applyNumberFormat="1" applyFont="1" applyFill="1" applyBorder="1" applyAlignment="1">
      <alignment horizontal="center" vertical="center"/>
    </xf>
    <xf numFmtId="0" fontId="9" fillId="7" borderId="22" xfId="0" applyFont="1" applyFill="1" applyBorder="1" applyAlignment="1">
      <alignment horizontal="right" vertical="center"/>
    </xf>
    <xf numFmtId="0" fontId="9" fillId="0" borderId="39" xfId="0" applyFont="1" applyBorder="1" applyAlignment="1">
      <alignment horizontal="right" vertical="center"/>
    </xf>
    <xf numFmtId="0" fontId="9" fillId="0" borderId="40" xfId="0" applyFont="1" applyBorder="1" applyAlignment="1">
      <alignment horizontal="right" vertical="center"/>
    </xf>
    <xf numFmtId="0" fontId="9" fillId="0" borderId="41" xfId="0" applyFont="1" applyBorder="1" applyAlignment="1">
      <alignment horizontal="right" vertical="center"/>
    </xf>
    <xf numFmtId="0" fontId="9" fillId="0" borderId="21" xfId="0" applyFont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2" fontId="4" fillId="5" borderId="34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3" fontId="4" fillId="4" borderId="44" xfId="0" applyNumberFormat="1" applyFont="1" applyFill="1" applyBorder="1" applyAlignment="1">
      <alignment horizontal="center" vertical="center"/>
    </xf>
    <xf numFmtId="167" fontId="4" fillId="4" borderId="44" xfId="0" applyNumberFormat="1" applyFont="1" applyFill="1" applyBorder="1" applyAlignment="1">
      <alignment horizontal="center" vertical="center"/>
    </xf>
    <xf numFmtId="2" fontId="4" fillId="5" borderId="45" xfId="0" applyNumberFormat="1" applyFont="1" applyFill="1" applyBorder="1" applyAlignment="1">
      <alignment horizontal="center" vertical="center"/>
    </xf>
    <xf numFmtId="4" fontId="4" fillId="5" borderId="4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4" fillId="0" borderId="0" xfId="4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5" fillId="6" borderId="0" xfId="0" applyFont="1" applyFill="1" applyAlignment="1">
      <alignment horizontal="center" vertical="center"/>
    </xf>
    <xf numFmtId="0" fontId="14" fillId="0" borderId="0" xfId="4" applyFont="1" applyAlignment="1">
      <alignment horizontal="center" vertical="center" wrapText="1"/>
    </xf>
    <xf numFmtId="168" fontId="14" fillId="0" borderId="3" xfId="0" applyNumberFormat="1" applyFont="1" applyBorder="1" applyAlignment="1">
      <alignment horizontal="left" vertical="center"/>
    </xf>
    <xf numFmtId="168" fontId="14" fillId="0" borderId="37" xfId="0" applyNumberFormat="1" applyFont="1" applyBorder="1" applyAlignment="1">
      <alignment horizontal="left" vertical="center"/>
    </xf>
    <xf numFmtId="0" fontId="15" fillId="0" borderId="3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" fontId="4" fillId="5" borderId="26" xfId="0" applyNumberFormat="1" applyFont="1" applyFill="1" applyBorder="1" applyAlignment="1">
      <alignment horizontal="center" vertical="center"/>
    </xf>
    <xf numFmtId="1" fontId="4" fillId="5" borderId="27" xfId="0" applyNumberFormat="1" applyFont="1" applyFill="1" applyBorder="1" applyAlignment="1">
      <alignment horizontal="center" vertical="center"/>
    </xf>
    <xf numFmtId="1" fontId="4" fillId="5" borderId="35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4" borderId="10" xfId="0" applyNumberFormat="1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4" fontId="4" fillId="5" borderId="9" xfId="0" applyNumberFormat="1" applyFont="1" applyFill="1" applyBorder="1" applyAlignment="1">
      <alignment horizontal="center" vertical="center"/>
    </xf>
    <xf numFmtId="4" fontId="4" fillId="5" borderId="10" xfId="0" applyNumberFormat="1" applyFont="1" applyFill="1" applyBorder="1" applyAlignment="1">
      <alignment horizontal="center" vertical="center"/>
    </xf>
    <xf numFmtId="4" fontId="4" fillId="5" borderId="11" xfId="0" applyNumberFormat="1" applyFont="1" applyFill="1" applyBorder="1" applyAlignment="1">
      <alignment horizontal="center" vertical="center"/>
    </xf>
    <xf numFmtId="4" fontId="4" fillId="5" borderId="13" xfId="0" applyNumberFormat="1" applyFont="1" applyFill="1" applyBorder="1" applyAlignment="1">
      <alignment horizontal="center" vertical="center"/>
    </xf>
    <xf numFmtId="4" fontId="4" fillId="5" borderId="26" xfId="0" applyNumberFormat="1" applyFont="1" applyFill="1" applyBorder="1" applyAlignment="1">
      <alignment horizontal="center" vertical="center"/>
    </xf>
    <xf numFmtId="4" fontId="4" fillId="5" borderId="27" xfId="0" applyNumberFormat="1" applyFont="1" applyFill="1" applyBorder="1" applyAlignment="1">
      <alignment horizontal="center" vertical="center"/>
    </xf>
    <xf numFmtId="166" fontId="4" fillId="4" borderId="9" xfId="0" applyNumberFormat="1" applyFont="1" applyFill="1" applyBorder="1" applyAlignment="1">
      <alignment horizontal="center" vertical="center"/>
    </xf>
    <xf numFmtId="166" fontId="4" fillId="4" borderId="10" xfId="0" applyNumberFormat="1" applyFont="1" applyFill="1" applyBorder="1" applyAlignment="1">
      <alignment horizontal="center" vertical="center"/>
    </xf>
    <xf numFmtId="3" fontId="4" fillId="5" borderId="9" xfId="0" applyNumberFormat="1" applyFont="1" applyFill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6" fontId="4" fillId="5" borderId="9" xfId="0" applyNumberFormat="1" applyFont="1" applyFill="1" applyBorder="1" applyAlignment="1">
      <alignment horizontal="center" vertical="center"/>
    </xf>
    <xf numFmtId="166" fontId="4" fillId="5" borderId="10" xfId="0" applyNumberFormat="1" applyFont="1" applyFill="1" applyBorder="1" applyAlignment="1">
      <alignment horizontal="center" vertical="center"/>
    </xf>
    <xf numFmtId="167" fontId="4" fillId="4" borderId="9" xfId="0" applyNumberFormat="1" applyFont="1" applyFill="1" applyBorder="1" applyAlignment="1">
      <alignment horizontal="center" vertical="center"/>
    </xf>
    <xf numFmtId="167" fontId="4" fillId="4" borderId="10" xfId="0" applyNumberFormat="1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4" fontId="4" fillId="4" borderId="9" xfId="0" applyNumberFormat="1" applyFont="1" applyFill="1" applyBorder="1" applyAlignment="1">
      <alignment horizontal="center" vertical="center"/>
    </xf>
    <xf numFmtId="4" fontId="4" fillId="4" borderId="10" xfId="0" applyNumberFormat="1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4" fontId="4" fillId="4" borderId="4" xfId="0" applyNumberFormat="1" applyFont="1" applyFill="1" applyBorder="1" applyAlignment="1">
      <alignment horizontal="center" vertical="center"/>
    </xf>
    <xf numFmtId="3" fontId="4" fillId="4" borderId="4" xfId="0" applyNumberFormat="1" applyFont="1" applyFill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167" fontId="4" fillId="4" borderId="4" xfId="0" applyNumberFormat="1" applyFont="1" applyFill="1" applyBorder="1" applyAlignment="1">
      <alignment horizontal="center" vertical="center"/>
    </xf>
    <xf numFmtId="4" fontId="4" fillId="5" borderId="12" xfId="0" applyNumberFormat="1" applyFont="1" applyFill="1" applyBorder="1" applyAlignment="1">
      <alignment horizontal="center" vertical="center"/>
    </xf>
    <xf numFmtId="167" fontId="4" fillId="4" borderId="31" xfId="0" applyNumberFormat="1" applyFont="1" applyFill="1" applyBorder="1" applyAlignment="1">
      <alignment horizontal="center" vertical="center"/>
    </xf>
    <xf numFmtId="3" fontId="4" fillId="4" borderId="31" xfId="0" applyNumberFormat="1" applyFont="1" applyFill="1" applyBorder="1" applyAlignment="1">
      <alignment horizontal="center" vertical="center"/>
    </xf>
    <xf numFmtId="166" fontId="4" fillId="4" borderId="31" xfId="0" applyNumberFormat="1" applyFont="1" applyFill="1" applyBorder="1" applyAlignment="1">
      <alignment horizontal="center" vertical="center"/>
    </xf>
    <xf numFmtId="3" fontId="4" fillId="5" borderId="31" xfId="0" applyNumberFormat="1" applyFont="1" applyFill="1" applyBorder="1" applyAlignment="1">
      <alignment horizontal="center" vertical="center"/>
    </xf>
    <xf numFmtId="166" fontId="4" fillId="5" borderId="31" xfId="0" applyNumberFormat="1" applyFont="1" applyFill="1" applyBorder="1" applyAlignment="1">
      <alignment horizontal="center" vertical="center"/>
    </xf>
    <xf numFmtId="4" fontId="4" fillId="5" borderId="35" xfId="0" applyNumberFormat="1" applyFont="1" applyFill="1" applyBorder="1" applyAlignment="1">
      <alignment horizontal="center" vertical="center"/>
    </xf>
    <xf numFmtId="4" fontId="4" fillId="5" borderId="31" xfId="0" applyNumberFormat="1" applyFont="1" applyFill="1" applyBorder="1" applyAlignment="1">
      <alignment horizontal="center" vertical="center"/>
    </xf>
    <xf numFmtId="4" fontId="4" fillId="5" borderId="34" xfId="0" applyNumberFormat="1" applyFont="1" applyFill="1" applyBorder="1" applyAlignment="1">
      <alignment horizontal="center" vertical="center"/>
    </xf>
    <xf numFmtId="4" fontId="4" fillId="5" borderId="18" xfId="0" applyNumberFormat="1" applyFont="1" applyFill="1" applyBorder="1" applyAlignment="1">
      <alignment horizontal="center" vertical="center"/>
    </xf>
    <xf numFmtId="4" fontId="4" fillId="5" borderId="20" xfId="0" applyNumberFormat="1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164" fontId="4" fillId="5" borderId="9" xfId="0" applyNumberFormat="1" applyFont="1" applyFill="1" applyBorder="1" applyAlignment="1">
      <alignment horizontal="center" vertical="center"/>
    </xf>
    <xf numFmtId="164" fontId="4" fillId="5" borderId="10" xfId="0" applyNumberFormat="1" applyFont="1" applyFill="1" applyBorder="1" applyAlignment="1">
      <alignment horizontal="center" vertical="center"/>
    </xf>
    <xf numFmtId="2" fontId="4" fillId="5" borderId="9" xfId="0" applyNumberFormat="1" applyFont="1" applyFill="1" applyBorder="1" applyAlignment="1">
      <alignment horizontal="center" vertical="center"/>
    </xf>
    <xf numFmtId="2" fontId="4" fillId="5" borderId="10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" fontId="4" fillId="5" borderId="4" xfId="0" applyNumberFormat="1" applyFont="1" applyFill="1" applyBorder="1" applyAlignment="1">
      <alignment horizontal="center" vertical="center"/>
    </xf>
    <xf numFmtId="2" fontId="4" fillId="5" borderId="34" xfId="0" applyNumberFormat="1" applyFont="1" applyFill="1" applyBorder="1" applyAlignment="1">
      <alignment horizontal="center" vertical="center"/>
    </xf>
    <xf numFmtId="2" fontId="4" fillId="5" borderId="12" xfId="0" applyNumberFormat="1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3" fontId="4" fillId="5" borderId="18" xfId="0" applyNumberFormat="1" applyFont="1" applyFill="1" applyBorder="1" applyAlignment="1">
      <alignment horizontal="center" vertical="center"/>
    </xf>
    <xf numFmtId="3" fontId="4" fillId="5" borderId="20" xfId="0" applyNumberFormat="1" applyFont="1" applyFill="1" applyBorder="1" applyAlignment="1">
      <alignment horizontal="center" vertical="center"/>
    </xf>
    <xf numFmtId="3" fontId="4" fillId="5" borderId="26" xfId="0" applyNumberFormat="1" applyFont="1" applyFill="1" applyBorder="1" applyAlignment="1">
      <alignment horizontal="center" vertical="center"/>
    </xf>
    <xf numFmtId="3" fontId="4" fillId="5" borderId="35" xfId="0" applyNumberFormat="1" applyFont="1" applyFill="1" applyBorder="1" applyAlignment="1">
      <alignment horizontal="center" vertical="center"/>
    </xf>
    <xf numFmtId="3" fontId="4" fillId="5" borderId="27" xfId="0" applyNumberFormat="1" applyFont="1" applyFill="1" applyBorder="1" applyAlignment="1">
      <alignment horizontal="center" vertical="center"/>
    </xf>
    <xf numFmtId="2" fontId="4" fillId="5" borderId="11" xfId="0" applyNumberFormat="1" applyFont="1" applyFill="1" applyBorder="1" applyAlignment="1">
      <alignment horizontal="center" vertical="center"/>
    </xf>
    <xf numFmtId="4" fontId="4" fillId="4" borderId="31" xfId="0" applyNumberFormat="1" applyFont="1" applyFill="1" applyBorder="1" applyAlignment="1">
      <alignment horizontal="center" vertical="center"/>
    </xf>
    <xf numFmtId="2" fontId="4" fillId="5" borderId="16" xfId="0" applyNumberFormat="1" applyFont="1" applyFill="1" applyBorder="1" applyAlignment="1">
      <alignment horizontal="center" vertical="center"/>
    </xf>
    <xf numFmtId="2" fontId="4" fillId="5" borderId="17" xfId="0" applyNumberFormat="1" applyFont="1" applyFill="1" applyBorder="1" applyAlignment="1">
      <alignment horizontal="center" vertical="center"/>
    </xf>
    <xf numFmtId="2" fontId="14" fillId="0" borderId="32" xfId="3" applyNumberFormat="1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2" fontId="14" fillId="0" borderId="46" xfId="3" applyNumberFormat="1" applyFont="1" applyFill="1" applyBorder="1" applyAlignment="1">
      <alignment horizontal="center" vertical="center"/>
    </xf>
    <xf numFmtId="2" fontId="14" fillId="0" borderId="47" xfId="3" applyNumberFormat="1" applyFont="1" applyFill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2" fontId="14" fillId="0" borderId="46" xfId="1" applyNumberFormat="1" applyFont="1" applyFill="1" applyBorder="1" applyAlignment="1">
      <alignment horizontal="center" vertical="center"/>
    </xf>
    <xf numFmtId="2" fontId="14" fillId="0" borderId="35" xfId="1" applyNumberFormat="1" applyFont="1" applyFill="1" applyBorder="1" applyAlignment="1">
      <alignment horizontal="center" vertical="center"/>
    </xf>
    <xf numFmtId="2" fontId="14" fillId="0" borderId="47" xfId="1" applyNumberFormat="1" applyFont="1" applyFill="1" applyBorder="1" applyAlignment="1">
      <alignment horizontal="center" vertical="center"/>
    </xf>
  </cellXfs>
  <cellStyles count="5">
    <cellStyle name="Calculation" xfId="3" builtinId="22"/>
    <cellStyle name="Input" xfId="1" builtinId="20"/>
    <cellStyle name="Normal" xfId="0" builtinId="0"/>
    <cellStyle name="Normal 2" xfId="4" xr:uid="{40E38E82-CF17-4277-AC75-FDFAC39070EB}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119803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135173-71B3-4AAB-B05F-9EE2B684D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9220" cy="513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467147</xdr:colOff>
      <xdr:row>4</xdr:row>
      <xdr:rowOff>71054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31C7DB-2C83-4F0E-81F2-7B05DE573D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578" b="21570"/>
        <a:stretch/>
      </xdr:blipFill>
      <xdr:spPr bwMode="auto">
        <a:xfrm>
          <a:off x="0" y="0"/>
          <a:ext cx="2505497" cy="726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2232447</xdr:colOff>
      <xdr:row>4</xdr:row>
      <xdr:rowOff>71054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5F6EFF-13C1-4F84-AB20-0DD6654DA8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578" b="21570"/>
        <a:stretch/>
      </xdr:blipFill>
      <xdr:spPr bwMode="auto">
        <a:xfrm>
          <a:off x="0" y="0"/>
          <a:ext cx="2232447" cy="737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13</xdr:col>
      <xdr:colOff>552076</xdr:colOff>
      <xdr:row>12</xdr:row>
      <xdr:rowOff>56857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AC90C94-5E03-4D89-99E2-018837BC5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0"/>
          <a:ext cx="2990476" cy="23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340780</xdr:colOff>
      <xdr:row>10</xdr:row>
      <xdr:rowOff>50801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75EF33E-D641-055E-E309-5FD493EA5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5471580" cy="18923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chell, Kyra" id="{04FDABC5-8F8A-48AA-A967-D0490225218D}" userId="S::Kyra.Schell@aecom.com::6009b450-c3ca-4e5d-8423-a5b7b5d1ed48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5" dT="2024-01-23T19:58:37.38" personId="{04FDABC5-8F8A-48AA-A967-D0490225218D}" id="{18E3466E-8613-45DA-BD4E-C525C6D4D1E0}">
    <text>Where do the coefficients come from?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04E69-6247-480C-8F3D-529EB1D96584}">
  <dimension ref="A1:E11"/>
  <sheetViews>
    <sheetView zoomScale="90" zoomScaleNormal="90" workbookViewId="0">
      <selection activeCell="F1" sqref="F1"/>
    </sheetView>
  </sheetViews>
  <sheetFormatPr defaultColWidth="8.85546875" defaultRowHeight="12.75" x14ac:dyDescent="0.2"/>
  <cols>
    <col min="1" max="1" width="9.5703125" style="12" customWidth="1"/>
    <col min="2" max="2" width="8.85546875" style="13" customWidth="1"/>
    <col min="3" max="3" width="14.140625" style="13" bestFit="1" customWidth="1"/>
    <col min="4" max="4" width="17" style="13" bestFit="1" customWidth="1"/>
    <col min="5" max="5" width="11.140625" style="13" bestFit="1" customWidth="1"/>
    <col min="6" max="16384" width="8.85546875" style="16"/>
  </cols>
  <sheetData>
    <row r="1" spans="1:5" s="17" customFormat="1" ht="13.5" thickBot="1" x14ac:dyDescent="0.25">
      <c r="A1" s="133" t="s">
        <v>75</v>
      </c>
      <c r="B1" s="133"/>
      <c r="C1" s="133"/>
      <c r="D1" s="133"/>
      <c r="E1" s="133"/>
    </row>
    <row r="2" spans="1:5" s="17" customFormat="1" ht="15" customHeight="1" x14ac:dyDescent="0.2">
      <c r="A2" s="136" t="s">
        <v>6</v>
      </c>
      <c r="B2" s="134" t="s">
        <v>22</v>
      </c>
      <c r="C2" s="139" t="s">
        <v>23</v>
      </c>
      <c r="D2" s="140"/>
      <c r="E2" s="141"/>
    </row>
    <row r="3" spans="1:5" s="19" customFormat="1" x14ac:dyDescent="0.2">
      <c r="A3" s="137"/>
      <c r="B3" s="135"/>
      <c r="C3" s="138" t="s">
        <v>25</v>
      </c>
      <c r="D3" s="83" t="s">
        <v>24</v>
      </c>
      <c r="E3" s="18" t="s">
        <v>76</v>
      </c>
    </row>
    <row r="4" spans="1:5" s="20" customFormat="1" x14ac:dyDescent="0.2">
      <c r="A4" s="137"/>
      <c r="B4" s="91" t="s">
        <v>26</v>
      </c>
      <c r="C4" s="138"/>
      <c r="D4" s="85" t="s">
        <v>17</v>
      </c>
      <c r="E4" s="88" t="s">
        <v>16</v>
      </c>
    </row>
    <row r="5" spans="1:5" x14ac:dyDescent="0.2">
      <c r="A5" s="94">
        <v>1</v>
      </c>
      <c r="B5" s="92">
        <v>6.1718000000000002</v>
      </c>
      <c r="C5" s="26">
        <v>76</v>
      </c>
      <c r="D5" s="86">
        <f>0.2*((1000/C5)-10)</f>
        <v>0.63157894736842091</v>
      </c>
      <c r="E5" s="89">
        <v>0</v>
      </c>
    </row>
    <row r="6" spans="1:5" x14ac:dyDescent="0.2">
      <c r="A6" s="94">
        <v>2</v>
      </c>
      <c r="B6" s="92">
        <v>0.71350000000000002</v>
      </c>
      <c r="C6" s="26">
        <v>83</v>
      </c>
      <c r="D6" s="86">
        <f t="shared" ref="D6:D9" si="0">0.2*((1000/C6)-10)</f>
        <v>0.40963855421686762</v>
      </c>
      <c r="E6" s="89">
        <v>0</v>
      </c>
    </row>
    <row r="7" spans="1:5" x14ac:dyDescent="0.2">
      <c r="A7" s="94">
        <v>3</v>
      </c>
      <c r="B7" s="92">
        <v>2.4268000000000001</v>
      </c>
      <c r="C7" s="26">
        <v>83</v>
      </c>
      <c r="D7" s="86">
        <f t="shared" si="0"/>
        <v>0.40963855421686762</v>
      </c>
      <c r="E7" s="89">
        <v>0</v>
      </c>
    </row>
    <row r="8" spans="1:5" x14ac:dyDescent="0.2">
      <c r="A8" s="94">
        <v>4</v>
      </c>
      <c r="B8" s="92">
        <v>3.7934999999999999</v>
      </c>
      <c r="C8" s="26">
        <v>79</v>
      </c>
      <c r="D8" s="86">
        <f t="shared" si="0"/>
        <v>0.53164556962025322</v>
      </c>
      <c r="E8" s="89">
        <v>0</v>
      </c>
    </row>
    <row r="9" spans="1:5" ht="13.5" thickBot="1" x14ac:dyDescent="0.25">
      <c r="A9" s="95">
        <v>5</v>
      </c>
      <c r="B9" s="93">
        <v>1.1263000000000001</v>
      </c>
      <c r="C9" s="27">
        <v>73</v>
      </c>
      <c r="D9" s="87">
        <f t="shared" si="0"/>
        <v>0.73972602739726023</v>
      </c>
      <c r="E9" s="90">
        <v>0</v>
      </c>
    </row>
    <row r="10" spans="1:5" ht="15.75" x14ac:dyDescent="0.3">
      <c r="A10" s="16"/>
      <c r="B10" s="84"/>
      <c r="C10" s="16"/>
      <c r="D10" s="24" t="s">
        <v>27</v>
      </c>
      <c r="E10" s="24"/>
    </row>
    <row r="11" spans="1:5" x14ac:dyDescent="0.2">
      <c r="B11" s="16"/>
      <c r="C11" s="16"/>
    </row>
  </sheetData>
  <mergeCells count="5">
    <mergeCell ref="A1:E1"/>
    <mergeCell ref="B2:B3"/>
    <mergeCell ref="A2:A4"/>
    <mergeCell ref="C3:C4"/>
    <mergeCell ref="C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3F168-75B9-4C80-A3FC-8B8E2BD40743}">
  <sheetPr>
    <tabColor theme="9" tint="0.39997558519241921"/>
    <pageSetUpPr fitToPage="1"/>
  </sheetPr>
  <dimension ref="A1:N7"/>
  <sheetViews>
    <sheetView tabSelected="1" zoomScale="90" zoomScaleNormal="90" workbookViewId="0">
      <selection activeCell="D7" sqref="D7:E7"/>
    </sheetView>
  </sheetViews>
  <sheetFormatPr defaultColWidth="8.85546875" defaultRowHeight="12.75" x14ac:dyDescent="0.25"/>
  <cols>
    <col min="1" max="1" width="10.7109375" style="128" customWidth="1"/>
    <col min="2" max="2" width="8.140625" style="128" customWidth="1"/>
    <col min="3" max="3" width="14.85546875" style="125" customWidth="1"/>
    <col min="4" max="4" width="8.85546875" style="125" customWidth="1"/>
    <col min="5" max="5" width="11.85546875" style="125" customWidth="1"/>
    <col min="6" max="6" width="11.85546875" style="125" bestFit="1" customWidth="1"/>
    <col min="7" max="7" width="10.5703125" style="125" bestFit="1" customWidth="1"/>
    <col min="8" max="8" width="16.140625" style="125" customWidth="1"/>
    <col min="9" max="9" width="9.85546875" style="125" bestFit="1" customWidth="1"/>
    <col min="10" max="10" width="6.42578125" style="125" customWidth="1"/>
    <col min="11" max="12" width="8.85546875" style="125" customWidth="1"/>
    <col min="13" max="16384" width="8.85546875" style="125"/>
  </cols>
  <sheetData>
    <row r="1" spans="1:14" ht="12.6" customHeight="1" x14ac:dyDescent="0.25">
      <c r="A1" s="125"/>
      <c r="B1" s="125"/>
      <c r="D1" s="144" t="s">
        <v>89</v>
      </c>
      <c r="E1" s="144"/>
      <c r="F1" s="144"/>
      <c r="G1" s="130"/>
      <c r="H1" s="122" t="s">
        <v>0</v>
      </c>
      <c r="I1" s="123" t="s">
        <v>91</v>
      </c>
      <c r="J1" s="122" t="s">
        <v>3</v>
      </c>
      <c r="K1" s="145">
        <v>45922</v>
      </c>
      <c r="L1" s="145"/>
    </row>
    <row r="2" spans="1:14" x14ac:dyDescent="0.25">
      <c r="A2" s="125"/>
      <c r="B2" s="125"/>
      <c r="D2" s="144"/>
      <c r="E2" s="144"/>
      <c r="F2" s="144"/>
      <c r="G2" s="130"/>
      <c r="H2" s="122" t="s">
        <v>2</v>
      </c>
      <c r="I2" s="124"/>
      <c r="J2" s="122" t="s">
        <v>3</v>
      </c>
      <c r="K2" s="146"/>
      <c r="L2" s="146"/>
    </row>
    <row r="3" spans="1:14" x14ac:dyDescent="0.25">
      <c r="A3" s="125"/>
      <c r="B3" s="125"/>
      <c r="D3" s="144"/>
      <c r="E3" s="144"/>
      <c r="F3" s="144"/>
      <c r="G3" s="130"/>
      <c r="H3" s="122" t="s">
        <v>87</v>
      </c>
      <c r="I3" s="142" t="s">
        <v>92</v>
      </c>
      <c r="J3" s="142"/>
      <c r="K3" s="142"/>
      <c r="L3" s="142"/>
    </row>
    <row r="4" spans="1:14" ht="13.5" thickBot="1" x14ac:dyDescent="0.3">
      <c r="A4" s="143" t="s">
        <v>97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26"/>
      <c r="N4" s="126"/>
    </row>
    <row r="5" spans="1:14" ht="76.5" customHeight="1" x14ac:dyDescent="0.25">
      <c r="A5" s="227" t="s">
        <v>98</v>
      </c>
      <c r="B5" s="228"/>
      <c r="C5" s="127" t="s">
        <v>96</v>
      </c>
      <c r="D5" s="227" t="s">
        <v>90</v>
      </c>
      <c r="E5" s="228"/>
      <c r="F5" s="227" t="s">
        <v>11</v>
      </c>
      <c r="G5" s="228"/>
      <c r="H5" s="227" t="s">
        <v>94</v>
      </c>
      <c r="I5" s="228"/>
      <c r="J5" s="227" t="s">
        <v>95</v>
      </c>
      <c r="K5" s="147"/>
      <c r="L5" s="228"/>
      <c r="M5" s="128"/>
      <c r="N5" s="131"/>
    </row>
    <row r="6" spans="1:14" ht="15.75" customHeight="1" thickBot="1" x14ac:dyDescent="0.3">
      <c r="A6" s="129" t="s">
        <v>99</v>
      </c>
      <c r="B6" s="129" t="s">
        <v>100</v>
      </c>
      <c r="C6" s="129" t="s">
        <v>16</v>
      </c>
      <c r="D6" s="229" t="s">
        <v>14</v>
      </c>
      <c r="E6" s="230"/>
      <c r="F6" s="229" t="s">
        <v>88</v>
      </c>
      <c r="G6" s="230"/>
      <c r="H6" s="229" t="s">
        <v>88</v>
      </c>
      <c r="I6" s="230"/>
      <c r="J6" s="229" t="s">
        <v>93</v>
      </c>
      <c r="K6" s="233"/>
      <c r="L6" s="230"/>
      <c r="M6" s="128"/>
      <c r="N6" s="132"/>
    </row>
    <row r="7" spans="1:14" ht="15.75" customHeight="1" thickBot="1" x14ac:dyDescent="0.3">
      <c r="A7" s="226">
        <v>3.22</v>
      </c>
      <c r="B7" s="226">
        <v>2061</v>
      </c>
      <c r="C7" s="226">
        <v>3.64</v>
      </c>
      <c r="D7" s="231">
        <v>76</v>
      </c>
      <c r="E7" s="232"/>
      <c r="F7" s="231">
        <f>(1000/CN)-10</f>
        <v>3.1578947368421044</v>
      </c>
      <c r="G7" s="232"/>
      <c r="H7" s="231">
        <f>S*0.2</f>
        <v>0.63157894736842091</v>
      </c>
      <c r="I7" s="232"/>
      <c r="J7" s="234">
        <v>2.3679634851386799</v>
      </c>
      <c r="K7" s="235"/>
      <c r="L7" s="236"/>
      <c r="M7" s="128"/>
    </row>
  </sheetData>
  <mergeCells count="18">
    <mergeCell ref="A5:B5"/>
    <mergeCell ref="J5:L5"/>
    <mergeCell ref="J6:L6"/>
    <mergeCell ref="J7:L7"/>
    <mergeCell ref="H5:I5"/>
    <mergeCell ref="H6:I6"/>
    <mergeCell ref="H7:I7"/>
    <mergeCell ref="D7:E7"/>
    <mergeCell ref="F5:G5"/>
    <mergeCell ref="F6:G6"/>
    <mergeCell ref="F7:G7"/>
    <mergeCell ref="I3:L3"/>
    <mergeCell ref="A4:L4"/>
    <mergeCell ref="D1:F3"/>
    <mergeCell ref="K1:L1"/>
    <mergeCell ref="K2:L2"/>
    <mergeCell ref="D5:E5"/>
    <mergeCell ref="D6:E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6FA8D-E598-4E44-AEDB-F3D7683FB975}">
  <dimension ref="A1:P13"/>
  <sheetViews>
    <sheetView topLeftCell="B1" zoomScale="90" zoomScaleNormal="90" workbookViewId="0">
      <selection activeCell="K1" sqref="K1"/>
    </sheetView>
  </sheetViews>
  <sheetFormatPr defaultColWidth="8.85546875" defaultRowHeight="12.75" x14ac:dyDescent="0.25"/>
  <cols>
    <col min="1" max="1" width="9.5703125" style="5" bestFit="1" customWidth="1"/>
    <col min="2" max="2" width="18.5703125" style="11" bestFit="1" customWidth="1"/>
    <col min="3" max="4" width="8.85546875" style="11" customWidth="1"/>
    <col min="5" max="5" width="15.5703125" style="11" bestFit="1" customWidth="1"/>
    <col min="6" max="6" width="11.42578125" style="11" bestFit="1" customWidth="1"/>
    <col min="7" max="7" width="13.7109375" style="11" bestFit="1" customWidth="1"/>
    <col min="8" max="8" width="13.85546875" style="11" bestFit="1" customWidth="1"/>
    <col min="9" max="10" width="8.85546875" style="11" customWidth="1"/>
    <col min="11" max="11" width="8.85546875" style="11"/>
    <col min="12" max="12" width="12" style="11" bestFit="1" customWidth="1"/>
    <col min="13" max="16384" width="8.85546875" style="11"/>
  </cols>
  <sheetData>
    <row r="1" spans="1:16" s="6" customFormat="1" ht="14.45" customHeight="1" x14ac:dyDescent="0.25">
      <c r="A1" s="1"/>
      <c r="B1" s="1"/>
      <c r="C1" s="1"/>
      <c r="D1" s="1"/>
      <c r="F1" s="2" t="s">
        <v>0</v>
      </c>
      <c r="G1" s="3" t="s">
        <v>1</v>
      </c>
      <c r="H1" s="4"/>
      <c r="I1" s="4"/>
      <c r="J1" s="4"/>
      <c r="K1" s="5"/>
      <c r="L1" s="5"/>
    </row>
    <row r="2" spans="1:16" s="7" customFormat="1" x14ac:dyDescent="0.25">
      <c r="A2" s="1"/>
      <c r="B2" s="1"/>
      <c r="C2" s="1"/>
      <c r="D2" s="1"/>
      <c r="F2" s="2" t="s">
        <v>2</v>
      </c>
      <c r="G2" s="3"/>
      <c r="H2" s="4"/>
      <c r="I2" s="4"/>
      <c r="J2" s="4"/>
    </row>
    <row r="3" spans="1:16" s="9" customFormat="1" x14ac:dyDescent="0.25">
      <c r="A3" s="1"/>
      <c r="B3" s="1"/>
      <c r="C3" s="1"/>
      <c r="D3" s="1"/>
      <c r="F3" s="2" t="s">
        <v>3</v>
      </c>
      <c r="G3" s="8">
        <v>45306</v>
      </c>
      <c r="H3" s="4"/>
      <c r="I3" s="4"/>
      <c r="J3" s="4"/>
    </row>
    <row r="4" spans="1:16" x14ac:dyDescent="0.25">
      <c r="A4" s="1"/>
      <c r="B4" s="1"/>
      <c r="C4" s="1"/>
      <c r="D4" s="1"/>
      <c r="F4" s="2" t="s">
        <v>4</v>
      </c>
      <c r="G4" s="3" t="s">
        <v>21</v>
      </c>
      <c r="H4" s="4"/>
      <c r="I4" s="4"/>
      <c r="J4" s="4"/>
      <c r="K4" s="10"/>
    </row>
    <row r="5" spans="1:16" x14ac:dyDescent="0.2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0"/>
      <c r="O5" s="10"/>
      <c r="P5" s="10"/>
    </row>
    <row r="6" spans="1:16" ht="13.5" thickBot="1" x14ac:dyDescent="0.3">
      <c r="A6" s="133" t="s">
        <v>5</v>
      </c>
      <c r="B6" s="133"/>
      <c r="C6" s="133"/>
      <c r="D6" s="133"/>
      <c r="E6" s="133"/>
      <c r="F6" s="133"/>
      <c r="G6" s="133"/>
      <c r="H6" s="133"/>
      <c r="I6" s="133"/>
      <c r="J6" s="133"/>
      <c r="K6" s="5"/>
      <c r="L6" s="5"/>
      <c r="M6" s="5"/>
      <c r="N6" s="10"/>
      <c r="O6" s="10"/>
      <c r="P6" s="10"/>
    </row>
    <row r="7" spans="1:16" ht="25.5" x14ac:dyDescent="0.25">
      <c r="A7" s="148" t="s">
        <v>6</v>
      </c>
      <c r="B7" s="149" t="s">
        <v>7</v>
      </c>
      <c r="C7" s="151" t="s">
        <v>8</v>
      </c>
      <c r="D7" s="152"/>
      <c r="E7" s="25" t="s">
        <v>9</v>
      </c>
      <c r="F7" s="25" t="s">
        <v>10</v>
      </c>
      <c r="G7" s="25" t="s">
        <v>11</v>
      </c>
      <c r="H7" s="25" t="s">
        <v>12</v>
      </c>
      <c r="I7" s="149" t="s">
        <v>13</v>
      </c>
      <c r="J7" s="153"/>
      <c r="K7" s="7"/>
      <c r="L7" s="7"/>
      <c r="O7" s="10"/>
      <c r="P7" s="10"/>
    </row>
    <row r="8" spans="1:16" x14ac:dyDescent="0.25">
      <c r="A8" s="138"/>
      <c r="B8" s="150"/>
      <c r="C8" s="33" t="s">
        <v>52</v>
      </c>
      <c r="D8" s="34" t="s">
        <v>15</v>
      </c>
      <c r="E8" s="34" t="s">
        <v>16</v>
      </c>
      <c r="F8" s="34" t="s">
        <v>14</v>
      </c>
      <c r="G8" s="34" t="s">
        <v>17</v>
      </c>
      <c r="H8" s="34" t="s">
        <v>18</v>
      </c>
      <c r="I8" s="34" t="s">
        <v>18</v>
      </c>
      <c r="J8" s="35" t="s">
        <v>19</v>
      </c>
      <c r="K8" s="9"/>
      <c r="L8" s="9"/>
      <c r="M8" s="9"/>
      <c r="N8" s="10"/>
      <c r="O8" s="10"/>
      <c r="P8" s="10"/>
    </row>
    <row r="9" spans="1:16" x14ac:dyDescent="0.25">
      <c r="A9" s="21">
        <v>1</v>
      </c>
      <c r="B9" s="14" t="s">
        <v>20</v>
      </c>
      <c r="C9" s="45">
        <v>6.0395000000000003</v>
      </c>
      <c r="D9" s="46">
        <f>5280*C9</f>
        <v>31888.560000000001</v>
      </c>
      <c r="E9" s="47">
        <v>2.2770000000000001</v>
      </c>
      <c r="F9" s="48">
        <f>IF('Loss Method OLD'!C5&lt;50,50,IF('Loss Method OLD'!C5&gt;95,95,'Loss Method OLD'!C5))</f>
        <v>76</v>
      </c>
      <c r="G9" s="49">
        <f>(1000/F9)-10</f>
        <v>3.1578947368421044</v>
      </c>
      <c r="H9" s="49">
        <f>((D9^0.8)*(G9+1)^0.7)/(1140*SQRT(E9))</f>
        <v>6.3173218433999789</v>
      </c>
      <c r="I9" s="50">
        <f>((D9^0.8)*(G9+1)^0.7)/(1900*SQRT(E9))</f>
        <v>3.7903931060399874</v>
      </c>
      <c r="J9" s="51">
        <f>60*I9</f>
        <v>227.42358636239925</v>
      </c>
      <c r="K9" s="10"/>
      <c r="L9" s="15"/>
      <c r="M9" s="10"/>
      <c r="N9" s="10"/>
      <c r="O9" s="10"/>
      <c r="P9" s="10"/>
    </row>
    <row r="10" spans="1:16" x14ac:dyDescent="0.25">
      <c r="A10" s="21">
        <v>2</v>
      </c>
      <c r="B10" s="14" t="s">
        <v>20</v>
      </c>
      <c r="C10" s="45">
        <v>1.8301700000000001</v>
      </c>
      <c r="D10" s="46">
        <f t="shared" ref="D10:D13" si="0">5280*C10</f>
        <v>9663.2975999999999</v>
      </c>
      <c r="E10" s="47">
        <v>2.548</v>
      </c>
      <c r="F10" s="48">
        <f>IF('Loss Method OLD'!C6&lt;50,50,IF('Loss Method OLD'!C6&gt;95,95,'Loss Method OLD'!C6))</f>
        <v>83</v>
      </c>
      <c r="G10" s="49">
        <f t="shared" ref="G10:G13" si="1">(1000/F10)-10</f>
        <v>2.0481927710843379</v>
      </c>
      <c r="H10" s="49">
        <f t="shared" ref="H10:H13" si="2">((D10^0.8)*(G10+1)^0.7)/(1140*SQRT(E10))</f>
        <v>1.8489510804232594</v>
      </c>
      <c r="I10" s="50">
        <f t="shared" ref="I10:I13" si="3">((D10^0.8)*(G10+1)^0.7)/(1900*SQRT(E10))</f>
        <v>1.1093706482539558</v>
      </c>
      <c r="J10" s="51">
        <f t="shared" ref="J10:J13" si="4">60*I10</f>
        <v>66.562238895237343</v>
      </c>
      <c r="K10" s="10"/>
      <c r="L10" s="15"/>
      <c r="M10" s="10"/>
      <c r="N10" s="10"/>
      <c r="O10" s="10"/>
      <c r="P10" s="10"/>
    </row>
    <row r="11" spans="1:16" x14ac:dyDescent="0.25">
      <c r="A11" s="21">
        <v>3</v>
      </c>
      <c r="B11" s="14" t="s">
        <v>20</v>
      </c>
      <c r="C11" s="45">
        <v>4.2469400000000004</v>
      </c>
      <c r="D11" s="46">
        <f t="shared" si="0"/>
        <v>22423.843200000003</v>
      </c>
      <c r="E11" s="47">
        <v>1.3340000000000001</v>
      </c>
      <c r="F11" s="48">
        <f>IF('Loss Method OLD'!C7&lt;50,50,IF('Loss Method OLD'!C7&gt;95,95,'Loss Method OLD'!C7))</f>
        <v>83</v>
      </c>
      <c r="G11" s="49">
        <f t="shared" si="1"/>
        <v>2.0481927710843379</v>
      </c>
      <c r="H11" s="49">
        <f t="shared" si="2"/>
        <v>5.0108911912676346</v>
      </c>
      <c r="I11" s="50">
        <f t="shared" si="3"/>
        <v>3.0065347147605808</v>
      </c>
      <c r="J11" s="51">
        <f t="shared" si="4"/>
        <v>180.39208288563484</v>
      </c>
      <c r="K11" s="10"/>
      <c r="L11" s="15"/>
      <c r="M11" s="10"/>
      <c r="N11" s="10"/>
      <c r="O11" s="10"/>
      <c r="P11" s="10"/>
    </row>
    <row r="12" spans="1:16" x14ac:dyDescent="0.25">
      <c r="A12" s="21">
        <v>4</v>
      </c>
      <c r="B12" s="14" t="s">
        <v>20</v>
      </c>
      <c r="C12" s="45">
        <v>4.7594900000000004</v>
      </c>
      <c r="D12" s="46">
        <f t="shared" si="0"/>
        <v>25130.107200000002</v>
      </c>
      <c r="E12" s="47">
        <v>2.5779999999999998</v>
      </c>
      <c r="F12" s="48">
        <f>IF('Loss Method OLD'!C8&lt;50,50,IF('Loss Method OLD'!C8&gt;95,95,'Loss Method OLD'!C8))</f>
        <v>79</v>
      </c>
      <c r="G12" s="49">
        <f t="shared" si="1"/>
        <v>2.6582278481012658</v>
      </c>
      <c r="H12" s="49">
        <f t="shared" si="2"/>
        <v>4.4864072229469523</v>
      </c>
      <c r="I12" s="50">
        <f t="shared" si="3"/>
        <v>2.6918443337681714</v>
      </c>
      <c r="J12" s="51">
        <f t="shared" si="4"/>
        <v>161.51066002609028</v>
      </c>
      <c r="K12" s="10"/>
      <c r="L12" s="15"/>
      <c r="M12" s="10"/>
      <c r="N12" s="10"/>
      <c r="O12" s="10"/>
      <c r="P12" s="10"/>
    </row>
    <row r="13" spans="1:16" ht="13.5" thickBot="1" x14ac:dyDescent="0.3">
      <c r="A13" s="22">
        <v>5</v>
      </c>
      <c r="B13" s="23" t="s">
        <v>20</v>
      </c>
      <c r="C13" s="52">
        <v>2.38951</v>
      </c>
      <c r="D13" s="53">
        <f t="shared" si="0"/>
        <v>12616.612800000001</v>
      </c>
      <c r="E13" s="54">
        <v>1.278</v>
      </c>
      <c r="F13" s="55">
        <f>IF('Loss Method OLD'!C9&lt;50,50,IF('Loss Method OLD'!C9&gt;95,95,'Loss Method OLD'!C9))</f>
        <v>73</v>
      </c>
      <c r="G13" s="56">
        <f t="shared" si="1"/>
        <v>3.6986301369863011</v>
      </c>
      <c r="H13" s="56">
        <f t="shared" si="2"/>
        <v>4.374856614346835</v>
      </c>
      <c r="I13" s="57">
        <f t="shared" si="3"/>
        <v>2.6249139686081011</v>
      </c>
      <c r="J13" s="58">
        <f t="shared" si="4"/>
        <v>157.49483811648608</v>
      </c>
      <c r="K13" s="10"/>
      <c r="L13" s="15"/>
      <c r="M13" s="10"/>
      <c r="N13" s="10"/>
      <c r="O13" s="10"/>
      <c r="P13" s="10"/>
    </row>
  </sheetData>
  <mergeCells count="5">
    <mergeCell ref="A6:J6"/>
    <mergeCell ref="A7:A8"/>
    <mergeCell ref="B7:B8"/>
    <mergeCell ref="C7:D7"/>
    <mergeCell ref="I7:J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3B9EB-C507-46D4-BB6D-6F539B38FA15}">
  <sheetPr>
    <tabColor rgb="FFFF0000"/>
  </sheetPr>
  <dimension ref="A1:T39"/>
  <sheetViews>
    <sheetView zoomScale="90" zoomScaleNormal="90" workbookViewId="0">
      <selection activeCell="Q17" sqref="Q17"/>
    </sheetView>
  </sheetViews>
  <sheetFormatPr defaultColWidth="8.85546875" defaultRowHeight="12.75" x14ac:dyDescent="0.25"/>
  <cols>
    <col min="1" max="1" width="35.5703125" style="31" bestFit="1" customWidth="1"/>
    <col min="2" max="12" width="10.7109375" style="29" bestFit="1" customWidth="1"/>
    <col min="13" max="13" width="13.42578125" style="121" bestFit="1" customWidth="1"/>
    <col min="14" max="16384" width="8.85546875" style="29"/>
  </cols>
  <sheetData>
    <row r="1" spans="1:20" s="11" customFormat="1" ht="14.65" customHeight="1" thickBot="1" x14ac:dyDescent="0.3">
      <c r="A1" s="73" t="s">
        <v>6</v>
      </c>
      <c r="B1" s="177" t="s">
        <v>38</v>
      </c>
      <c r="C1" s="178"/>
      <c r="D1" s="177" t="s">
        <v>39</v>
      </c>
      <c r="E1" s="178"/>
      <c r="F1" s="177" t="s">
        <v>40</v>
      </c>
      <c r="G1" s="178"/>
      <c r="H1" s="177" t="s">
        <v>41</v>
      </c>
      <c r="I1" s="183"/>
      <c r="J1" s="178"/>
      <c r="K1" s="177" t="s">
        <v>42</v>
      </c>
      <c r="L1" s="178"/>
      <c r="M1" s="5" t="s">
        <v>81</v>
      </c>
      <c r="N1" s="6"/>
      <c r="O1" s="5"/>
      <c r="R1" s="10"/>
      <c r="S1" s="10"/>
      <c r="T1" s="10"/>
    </row>
    <row r="2" spans="1:20" ht="13.5" thickBot="1" x14ac:dyDescent="0.3">
      <c r="A2" s="177" t="s">
        <v>28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78"/>
    </row>
    <row r="3" spans="1:20" ht="14.45" customHeight="1" x14ac:dyDescent="0.25">
      <c r="A3" s="70" t="s">
        <v>60</v>
      </c>
      <c r="B3" s="157" t="s">
        <v>57</v>
      </c>
      <c r="C3" s="158"/>
      <c r="D3" s="157" t="s">
        <v>57</v>
      </c>
      <c r="E3" s="158"/>
      <c r="F3" s="157" t="s">
        <v>57</v>
      </c>
      <c r="G3" s="158"/>
      <c r="H3" s="157" t="s">
        <v>57</v>
      </c>
      <c r="I3" s="208"/>
      <c r="J3" s="158"/>
      <c r="K3" s="157" t="s">
        <v>57</v>
      </c>
      <c r="L3" s="158"/>
    </row>
    <row r="4" spans="1:20" ht="25.5" customHeight="1" x14ac:dyDescent="0.25">
      <c r="A4" s="71" t="s">
        <v>29</v>
      </c>
      <c r="B4" s="179" t="s">
        <v>54</v>
      </c>
      <c r="C4" s="180"/>
      <c r="D4" s="179" t="s">
        <v>77</v>
      </c>
      <c r="E4" s="180"/>
      <c r="F4" s="179" t="s">
        <v>77</v>
      </c>
      <c r="G4" s="180"/>
      <c r="H4" s="179" t="s">
        <v>54</v>
      </c>
      <c r="I4" s="184"/>
      <c r="J4" s="180"/>
      <c r="K4" s="179" t="s">
        <v>54</v>
      </c>
      <c r="L4" s="180"/>
      <c r="M4" s="121" t="s">
        <v>82</v>
      </c>
    </row>
    <row r="5" spans="1:20" ht="14.45" customHeight="1" x14ac:dyDescent="0.25">
      <c r="A5" s="71" t="s">
        <v>30</v>
      </c>
      <c r="B5" s="181">
        <v>0.8</v>
      </c>
      <c r="C5" s="182"/>
      <c r="D5" s="181">
        <v>0.41</v>
      </c>
      <c r="E5" s="182"/>
      <c r="F5" s="181">
        <v>0.41</v>
      </c>
      <c r="G5" s="182"/>
      <c r="H5" s="181">
        <v>0.8</v>
      </c>
      <c r="I5" s="185"/>
      <c r="J5" s="182"/>
      <c r="K5" s="181">
        <v>0.8</v>
      </c>
      <c r="L5" s="182"/>
    </row>
    <row r="6" spans="1:20" ht="14.45" customHeight="1" x14ac:dyDescent="0.25">
      <c r="A6" s="71" t="s">
        <v>31</v>
      </c>
      <c r="B6" s="159">
        <v>100</v>
      </c>
      <c r="C6" s="160"/>
      <c r="D6" s="159">
        <v>100</v>
      </c>
      <c r="E6" s="160"/>
      <c r="F6" s="159">
        <v>100</v>
      </c>
      <c r="G6" s="160"/>
      <c r="H6" s="159">
        <v>100</v>
      </c>
      <c r="I6" s="186"/>
      <c r="J6" s="160"/>
      <c r="K6" s="159">
        <v>100</v>
      </c>
      <c r="L6" s="160"/>
    </row>
    <row r="7" spans="1:20" ht="14.25" x14ac:dyDescent="0.25">
      <c r="A7" s="71" t="s">
        <v>36</v>
      </c>
      <c r="B7" s="181">
        <v>3.08</v>
      </c>
      <c r="C7" s="182"/>
      <c r="D7" s="181">
        <v>3.08</v>
      </c>
      <c r="E7" s="182"/>
      <c r="F7" s="181">
        <v>3.08</v>
      </c>
      <c r="G7" s="182"/>
      <c r="H7" s="181">
        <v>3.08</v>
      </c>
      <c r="I7" s="185"/>
      <c r="J7" s="182"/>
      <c r="K7" s="181">
        <v>3.08</v>
      </c>
      <c r="L7" s="182"/>
      <c r="M7" s="121" t="s">
        <v>83</v>
      </c>
    </row>
    <row r="8" spans="1:20" ht="14.45" customHeight="1" x14ac:dyDescent="0.25">
      <c r="A8" s="71" t="s">
        <v>35</v>
      </c>
      <c r="B8" s="175">
        <v>0.15</v>
      </c>
      <c r="C8" s="176"/>
      <c r="D8" s="175">
        <v>8.5000000000000006E-2</v>
      </c>
      <c r="E8" s="176"/>
      <c r="F8" s="175">
        <v>2.5000000000000001E-2</v>
      </c>
      <c r="G8" s="176"/>
      <c r="H8" s="175">
        <v>0.06</v>
      </c>
      <c r="I8" s="189"/>
      <c r="J8" s="176"/>
      <c r="K8" s="175">
        <v>0.1</v>
      </c>
      <c r="L8" s="176"/>
      <c r="M8" s="121" t="s">
        <v>85</v>
      </c>
    </row>
    <row r="9" spans="1:20" ht="15" thickBot="1" x14ac:dyDescent="0.3">
      <c r="A9" s="72" t="s">
        <v>37</v>
      </c>
      <c r="B9" s="165">
        <f>(0.007*((B5*B6)^0.8))/((B7^0.5)*(B8^0.4))</f>
        <v>0.28369923697320121</v>
      </c>
      <c r="C9" s="166"/>
      <c r="D9" s="165">
        <f>(0.007*((D5*D6)^0.8))/((D7^0.5)*(D8^0.4))</f>
        <v>0.20858457884632439</v>
      </c>
      <c r="E9" s="166"/>
      <c r="F9" s="165">
        <f t="shared" ref="F9" si="0">(0.007*((F5*F6)^0.8))/((F7^0.5)*(F8^0.4))</f>
        <v>0.3403092576691511</v>
      </c>
      <c r="G9" s="166"/>
      <c r="H9" s="165">
        <f>(0.007*((H5*H6)^0.8))/((H7^0.5)*(H8^0.4))</f>
        <v>0.40929286248718566</v>
      </c>
      <c r="I9" s="190"/>
      <c r="J9" s="166"/>
      <c r="K9" s="165">
        <f>(0.007*((K5*K6)^0.8))/((K7^0.5)*(K8^0.4))</f>
        <v>0.33365272131043822</v>
      </c>
      <c r="L9" s="166"/>
    </row>
    <row r="10" spans="1:20" ht="13.5" thickBot="1" x14ac:dyDescent="0.3">
      <c r="A10" s="177" t="s">
        <v>32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6"/>
    </row>
    <row r="11" spans="1:20" ht="14.65" customHeight="1" x14ac:dyDescent="0.25">
      <c r="A11" s="109" t="s">
        <v>60</v>
      </c>
      <c r="B11" s="36" t="s">
        <v>57</v>
      </c>
      <c r="C11" s="38" t="s">
        <v>58</v>
      </c>
      <c r="D11" s="112" t="s">
        <v>57</v>
      </c>
      <c r="E11" s="115" t="s">
        <v>58</v>
      </c>
      <c r="F11" s="36" t="s">
        <v>57</v>
      </c>
      <c r="G11" s="38" t="s">
        <v>58</v>
      </c>
      <c r="H11" s="212" t="s">
        <v>57</v>
      </c>
      <c r="I11" s="208"/>
      <c r="J11" s="115" t="s">
        <v>58</v>
      </c>
      <c r="K11" s="36" t="s">
        <v>57</v>
      </c>
      <c r="L11" s="38" t="s">
        <v>58</v>
      </c>
    </row>
    <row r="12" spans="1:20" ht="14.45" customHeight="1" x14ac:dyDescent="0.25">
      <c r="A12" s="110" t="s">
        <v>33</v>
      </c>
      <c r="B12" s="67" t="s">
        <v>79</v>
      </c>
      <c r="C12" s="30" t="s">
        <v>79</v>
      </c>
      <c r="D12" s="113" t="s">
        <v>77</v>
      </c>
      <c r="E12" s="116" t="s">
        <v>79</v>
      </c>
      <c r="F12" s="67" t="s">
        <v>77</v>
      </c>
      <c r="G12" s="30" t="s">
        <v>79</v>
      </c>
      <c r="H12" s="213" t="s">
        <v>80</v>
      </c>
      <c r="I12" s="214"/>
      <c r="J12" s="116" t="s">
        <v>79</v>
      </c>
      <c r="K12" s="67" t="s">
        <v>79</v>
      </c>
      <c r="L12" s="30" t="s">
        <v>80</v>
      </c>
      <c r="M12" s="121" t="s">
        <v>82</v>
      </c>
    </row>
    <row r="13" spans="1:20" x14ac:dyDescent="0.25">
      <c r="A13" s="110" t="s">
        <v>31</v>
      </c>
      <c r="B13" s="62">
        <v>2500</v>
      </c>
      <c r="C13" s="42">
        <v>1300</v>
      </c>
      <c r="D13" s="98">
        <v>1400</v>
      </c>
      <c r="E13" s="117">
        <v>1300</v>
      </c>
      <c r="F13" s="62">
        <v>3100</v>
      </c>
      <c r="G13" s="42">
        <v>1100</v>
      </c>
      <c r="H13" s="192">
        <v>1700</v>
      </c>
      <c r="I13" s="186"/>
      <c r="J13" s="117">
        <v>2700</v>
      </c>
      <c r="K13" s="62">
        <v>1000</v>
      </c>
      <c r="L13" s="42">
        <v>2600</v>
      </c>
      <c r="M13" s="121" t="s">
        <v>85</v>
      </c>
    </row>
    <row r="14" spans="1:20" x14ac:dyDescent="0.25">
      <c r="A14" s="110" t="s">
        <v>34</v>
      </c>
      <c r="B14" s="63">
        <v>0.122</v>
      </c>
      <c r="C14" s="60">
        <v>4.1099999999999998E-2</v>
      </c>
      <c r="D14" s="97">
        <v>8.7300000000000003E-2</v>
      </c>
      <c r="E14" s="118">
        <v>3.2899999999999999E-2</v>
      </c>
      <c r="F14" s="63">
        <v>5.5199999999999999E-2</v>
      </c>
      <c r="G14" s="60">
        <v>3.1699999999999999E-2</v>
      </c>
      <c r="H14" s="191">
        <v>9.9400000000000002E-2</v>
      </c>
      <c r="I14" s="189"/>
      <c r="J14" s="118">
        <v>7.2999999999999995E-2</v>
      </c>
      <c r="K14" s="63">
        <v>6.2399999999999997E-2</v>
      </c>
      <c r="L14" s="60">
        <v>3.0300000000000001E-2</v>
      </c>
      <c r="M14" s="121" t="s">
        <v>85</v>
      </c>
    </row>
    <row r="15" spans="1:20" x14ac:dyDescent="0.25">
      <c r="A15" s="110" t="s">
        <v>43</v>
      </c>
      <c r="B15" s="69">
        <f>2.516*SQRT(B14)</f>
        <v>0.87880101957155243</v>
      </c>
      <c r="C15" s="44">
        <f>2.516*SQRT(C14)</f>
        <v>0.51007207490706641</v>
      </c>
      <c r="D15" s="96">
        <f>16.135*SQRT(D14)</f>
        <v>4.7673396189594053</v>
      </c>
      <c r="E15" s="120">
        <f>2.516*SQRT(E14)</f>
        <v>0.45636106582398112</v>
      </c>
      <c r="F15" s="69">
        <f>16.135*SQRT(F14)</f>
        <v>3.790866658166705</v>
      </c>
      <c r="G15" s="44">
        <f>2.516*SQRT(G14)</f>
        <v>0.44796106437948374</v>
      </c>
      <c r="H15" s="197">
        <f>6.962*SQRT(H14)</f>
        <v>2.1949630369552922</v>
      </c>
      <c r="I15" s="209"/>
      <c r="J15" s="120">
        <f>2.516*SQRT(J14)</f>
        <v>0.67978576625286868</v>
      </c>
      <c r="K15" s="69">
        <f>2.516*SQRT(K14)</f>
        <v>0.62849659855881479</v>
      </c>
      <c r="L15" s="44">
        <f>6.962*SQRT(L14)</f>
        <v>1.2118680428165436</v>
      </c>
      <c r="M15" s="121" t="s">
        <v>84</v>
      </c>
    </row>
    <row r="16" spans="1:20" ht="15" thickBot="1" x14ac:dyDescent="0.3">
      <c r="A16" s="111" t="s">
        <v>37</v>
      </c>
      <c r="B16" s="68">
        <f>B13/(3600*B15)</f>
        <v>0.79021806868523137</v>
      </c>
      <c r="C16" s="32">
        <f>C13/(3600*C15)</f>
        <v>0.70796095076740762</v>
      </c>
      <c r="D16" s="114">
        <f>D13/(3600*D15)</f>
        <v>8.1573565126827258E-2</v>
      </c>
      <c r="E16" s="119">
        <f>E13/(3600*E15)</f>
        <v>0.79128378416574208</v>
      </c>
      <c r="F16" s="68">
        <f t="shared" ref="F16:L16" si="1">F13/(3600*F15)</f>
        <v>0.22715415464588029</v>
      </c>
      <c r="G16" s="32">
        <f t="shared" si="1"/>
        <v>0.68210293226892726</v>
      </c>
      <c r="H16" s="210">
        <f>H13/(3600*H15)</f>
        <v>0.21513903162454057</v>
      </c>
      <c r="I16" s="211"/>
      <c r="J16" s="119">
        <f t="shared" si="1"/>
        <v>1.1032887671864151</v>
      </c>
      <c r="K16" s="68">
        <f t="shared" si="1"/>
        <v>0.44197180766728256</v>
      </c>
      <c r="L16" s="32">
        <f t="shared" si="1"/>
        <v>0.59595780786799291</v>
      </c>
    </row>
    <row r="17" spans="1:13" ht="13.5" thickBot="1" x14ac:dyDescent="0.3">
      <c r="A17" s="177" t="s">
        <v>44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8"/>
    </row>
    <row r="18" spans="1:13" ht="14.45" customHeight="1" x14ac:dyDescent="0.25">
      <c r="A18" s="70" t="s">
        <v>60</v>
      </c>
      <c r="B18" s="36" t="s">
        <v>57</v>
      </c>
      <c r="C18" s="38" t="s">
        <v>58</v>
      </c>
      <c r="D18" s="157" t="s">
        <v>57</v>
      </c>
      <c r="E18" s="158"/>
      <c r="F18" s="36" t="s">
        <v>57</v>
      </c>
      <c r="G18" s="38" t="s">
        <v>58</v>
      </c>
      <c r="H18" s="36" t="s">
        <v>57</v>
      </c>
      <c r="I18" s="37" t="s">
        <v>58</v>
      </c>
      <c r="J18" s="38" t="s">
        <v>59</v>
      </c>
      <c r="K18" s="161" t="s">
        <v>57</v>
      </c>
      <c r="L18" s="162"/>
    </row>
    <row r="19" spans="1:13" ht="14.45" customHeight="1" x14ac:dyDescent="0.25">
      <c r="A19" s="71" t="s">
        <v>61</v>
      </c>
      <c r="B19" s="62">
        <v>188</v>
      </c>
      <c r="C19" s="42">
        <v>633</v>
      </c>
      <c r="D19" s="159">
        <v>567</v>
      </c>
      <c r="E19" s="160"/>
      <c r="F19" s="62">
        <v>584.99623999999994</v>
      </c>
      <c r="G19" s="42">
        <v>444</v>
      </c>
      <c r="H19" s="62">
        <v>480</v>
      </c>
      <c r="I19" s="39">
        <v>462</v>
      </c>
      <c r="J19" s="42">
        <v>870</v>
      </c>
      <c r="K19" s="192">
        <v>136</v>
      </c>
      <c r="L19" s="160"/>
      <c r="M19" s="121" t="s">
        <v>85</v>
      </c>
    </row>
    <row r="20" spans="1:13" ht="14.45" customHeight="1" x14ac:dyDescent="0.25">
      <c r="A20" s="71" t="s">
        <v>62</v>
      </c>
      <c r="B20" s="99">
        <v>7</v>
      </c>
      <c r="C20" s="100">
        <v>28</v>
      </c>
      <c r="D20" s="159">
        <v>131</v>
      </c>
      <c r="E20" s="160"/>
      <c r="F20" s="99">
        <v>59</v>
      </c>
      <c r="G20" s="42">
        <v>280</v>
      </c>
      <c r="H20" s="99">
        <v>48</v>
      </c>
      <c r="I20" s="101">
        <v>68</v>
      </c>
      <c r="J20" s="100">
        <v>87</v>
      </c>
      <c r="K20" s="193">
        <v>6.5</v>
      </c>
      <c r="L20" s="170"/>
      <c r="M20" s="121" t="s">
        <v>85</v>
      </c>
    </row>
    <row r="21" spans="1:13" ht="14.45" customHeight="1" x14ac:dyDescent="0.25">
      <c r="A21" s="71" t="s">
        <v>73</v>
      </c>
      <c r="B21" s="99">
        <v>19</v>
      </c>
      <c r="C21" s="100">
        <v>44</v>
      </c>
      <c r="D21" s="169">
        <v>11</v>
      </c>
      <c r="E21" s="170"/>
      <c r="F21" s="99">
        <v>41</v>
      </c>
      <c r="G21" s="100">
        <v>6</v>
      </c>
      <c r="H21" s="99">
        <v>25</v>
      </c>
      <c r="I21" s="101">
        <v>18</v>
      </c>
      <c r="J21" s="100">
        <v>61</v>
      </c>
      <c r="K21" s="193">
        <v>3.5</v>
      </c>
      <c r="L21" s="170"/>
      <c r="M21" s="121" t="s">
        <v>85</v>
      </c>
    </row>
    <row r="22" spans="1:13" ht="14.45" customHeight="1" x14ac:dyDescent="0.25">
      <c r="A22" s="71" t="s">
        <v>45</v>
      </c>
      <c r="B22" s="105">
        <f>B21*(B19+B20)/2</f>
        <v>1852.5</v>
      </c>
      <c r="C22" s="106">
        <f t="shared" ref="C22:L22" si="2">((C19+C20)/2)*C21</f>
        <v>14542</v>
      </c>
      <c r="D22" s="171">
        <f>((D19+D20)/2)*D21</f>
        <v>3839</v>
      </c>
      <c r="E22" s="172"/>
      <c r="F22" s="105">
        <f t="shared" si="2"/>
        <v>13201.922919999999</v>
      </c>
      <c r="G22" s="106">
        <f t="shared" si="2"/>
        <v>2172</v>
      </c>
      <c r="H22" s="105">
        <f t="shared" si="2"/>
        <v>6600</v>
      </c>
      <c r="I22" s="107">
        <f t="shared" si="2"/>
        <v>4770</v>
      </c>
      <c r="J22" s="106">
        <f t="shared" si="2"/>
        <v>29188.5</v>
      </c>
      <c r="K22" s="194">
        <f>((K19+K20)/2)*K21</f>
        <v>249.375</v>
      </c>
      <c r="L22" s="172">
        <f t="shared" si="2"/>
        <v>0</v>
      </c>
    </row>
    <row r="23" spans="1:13" ht="14.25" x14ac:dyDescent="0.25">
      <c r="A23" s="71" t="s">
        <v>46</v>
      </c>
      <c r="B23" s="105">
        <f>B20+2*(((B19-B20)/2)^2+B21^2)^0.5</f>
        <v>191.94593804677083</v>
      </c>
      <c r="C23" s="106">
        <f t="shared" ref="C23:L23" si="3">C20+2*(((C19-C20)/2)^2+C21^2)^0.5</f>
        <v>639.36650218997113</v>
      </c>
      <c r="D23" s="171">
        <f>D20+2*(((D19-D20)/2)^2+D21^2)^0.5</f>
        <v>567.55469302253528</v>
      </c>
      <c r="E23" s="172"/>
      <c r="F23" s="105">
        <f t="shared" si="3"/>
        <v>591.34955104154778</v>
      </c>
      <c r="G23" s="106">
        <f t="shared" si="3"/>
        <v>444.43843832875575</v>
      </c>
      <c r="H23" s="105">
        <f t="shared" si="3"/>
        <v>482.88389255064391</v>
      </c>
      <c r="I23" s="107">
        <f t="shared" si="3"/>
        <v>463.64125164092786</v>
      </c>
      <c r="J23" s="106">
        <f t="shared" si="3"/>
        <v>879.44747460005192</v>
      </c>
      <c r="K23" s="194">
        <f>K20+2*(((K19-K20)/2)^2+K21^2)^0.5</f>
        <v>136.18905119554233</v>
      </c>
      <c r="L23" s="172">
        <f t="shared" si="3"/>
        <v>0</v>
      </c>
    </row>
    <row r="24" spans="1:13" ht="14.45" customHeight="1" x14ac:dyDescent="0.25">
      <c r="A24" s="71" t="s">
        <v>47</v>
      </c>
      <c r="B24" s="102">
        <f>B22/B23</f>
        <v>9.6511550015119756</v>
      </c>
      <c r="C24" s="103">
        <f>C22/C23</f>
        <v>22.74438831279156</v>
      </c>
      <c r="D24" s="173">
        <f>D22/D23</f>
        <v>6.7641058160496419</v>
      </c>
      <c r="E24" s="174"/>
      <c r="F24" s="102">
        <f t="shared" ref="F24:J24" si="4">F22/F23</f>
        <v>22.325074732444403</v>
      </c>
      <c r="G24" s="103">
        <f t="shared" si="4"/>
        <v>4.8870660426390682</v>
      </c>
      <c r="H24" s="102">
        <f t="shared" si="4"/>
        <v>13.667881869362219</v>
      </c>
      <c r="I24" s="104">
        <f>I22/I23</f>
        <v>10.288126828917672</v>
      </c>
      <c r="J24" s="103">
        <f t="shared" si="4"/>
        <v>33.189588739536845</v>
      </c>
      <c r="K24" s="195">
        <f>K22/K23</f>
        <v>1.831094334022076</v>
      </c>
      <c r="L24" s="174"/>
    </row>
    <row r="25" spans="1:13" x14ac:dyDescent="0.25">
      <c r="A25" s="71" t="s">
        <v>48</v>
      </c>
      <c r="B25" s="63">
        <v>4.3900000000000002E-2</v>
      </c>
      <c r="C25" s="60">
        <v>6.1899999999999997E-2</v>
      </c>
      <c r="D25" s="175">
        <v>4.8599999999999997E-2</v>
      </c>
      <c r="E25" s="176"/>
      <c r="F25" s="63">
        <v>4.24E-2</v>
      </c>
      <c r="G25" s="60">
        <v>3.3300000000000003E-2</v>
      </c>
      <c r="H25" s="63">
        <v>3.5499999999999997E-2</v>
      </c>
      <c r="I25" s="59">
        <v>4.65E-2</v>
      </c>
      <c r="J25" s="60">
        <v>3.9800000000000002E-2</v>
      </c>
      <c r="K25" s="191">
        <v>2.9899999999999999E-2</v>
      </c>
      <c r="L25" s="176"/>
      <c r="M25" s="121" t="s">
        <v>85</v>
      </c>
    </row>
    <row r="26" spans="1:13" ht="14.45" customHeight="1" x14ac:dyDescent="0.25">
      <c r="A26" s="71" t="s">
        <v>30</v>
      </c>
      <c r="B26" s="63">
        <v>0.08</v>
      </c>
      <c r="C26" s="60">
        <v>0.08</v>
      </c>
      <c r="D26" s="175">
        <v>0.08</v>
      </c>
      <c r="E26" s="176"/>
      <c r="F26" s="63">
        <v>0.08</v>
      </c>
      <c r="G26" s="60">
        <v>0.08</v>
      </c>
      <c r="H26" s="63">
        <v>0.08</v>
      </c>
      <c r="I26" s="59">
        <v>0.08</v>
      </c>
      <c r="J26" s="60">
        <v>0.08</v>
      </c>
      <c r="K26" s="191">
        <v>0.08</v>
      </c>
      <c r="L26" s="176"/>
    </row>
    <row r="27" spans="1:13" ht="14.45" customHeight="1" x14ac:dyDescent="0.25">
      <c r="A27" s="71" t="s">
        <v>49</v>
      </c>
      <c r="B27" s="69">
        <f>(1.49*(B24^(2/3))*(B25^(1/2)))/B26</f>
        <v>17.689466506298864</v>
      </c>
      <c r="C27" s="44">
        <f>(1.49*(C24^(2/3))*(C25^(1/2)))/C26</f>
        <v>37.198415993517955</v>
      </c>
      <c r="D27" s="163">
        <f>(1.49*(D24^(2/3))*(D25^(1/2)))/D26</f>
        <v>14.68547544225385</v>
      </c>
      <c r="E27" s="164"/>
      <c r="F27" s="69">
        <f t="shared" ref="F27:J27" si="5">(1.49*(F24^(2/3))*(F25^(1/2)))/F26</f>
        <v>30.407064168563295</v>
      </c>
      <c r="G27" s="44">
        <f t="shared" si="5"/>
        <v>9.7877725861005977</v>
      </c>
      <c r="H27" s="69">
        <f t="shared" si="5"/>
        <v>20.060631593370729</v>
      </c>
      <c r="I27" s="43">
        <f t="shared" si="5"/>
        <v>18.998251423396926</v>
      </c>
      <c r="J27" s="44">
        <f t="shared" si="5"/>
        <v>38.374176150757982</v>
      </c>
      <c r="K27" s="197">
        <f>(1.49*(K24^(2/3))*(K25^(1/2)))/K26</f>
        <v>4.8202809827743591</v>
      </c>
      <c r="L27" s="164"/>
    </row>
    <row r="28" spans="1:13" x14ac:dyDescent="0.25">
      <c r="A28" s="71" t="s">
        <v>31</v>
      </c>
      <c r="B28" s="62">
        <v>3300</v>
      </c>
      <c r="C28" s="42">
        <v>7200</v>
      </c>
      <c r="D28" s="159">
        <v>6800</v>
      </c>
      <c r="E28" s="160"/>
      <c r="F28" s="62">
        <v>9000</v>
      </c>
      <c r="G28" s="42">
        <v>9200</v>
      </c>
      <c r="H28" s="62">
        <v>6100</v>
      </c>
      <c r="I28" s="39">
        <v>5700</v>
      </c>
      <c r="J28" s="42">
        <v>8800</v>
      </c>
      <c r="K28" s="192">
        <v>8900</v>
      </c>
      <c r="L28" s="160"/>
      <c r="M28" s="121" t="s">
        <v>85</v>
      </c>
    </row>
    <row r="29" spans="1:13" ht="15" thickBot="1" x14ac:dyDescent="0.3">
      <c r="A29" s="72" t="s">
        <v>37</v>
      </c>
      <c r="B29" s="64">
        <f>B28/(3600*B27)</f>
        <v>5.1819915899683017E-2</v>
      </c>
      <c r="C29" s="65">
        <f>C28/(3600*C27)</f>
        <v>5.3765730249065231E-2</v>
      </c>
      <c r="D29" s="165">
        <f>D28/(3600*D27)</f>
        <v>0.1286229306171508</v>
      </c>
      <c r="E29" s="166"/>
      <c r="F29" s="64">
        <f t="shared" ref="F29:J29" si="6">F28/(3600*F27)</f>
        <v>8.2217736843685649E-2</v>
      </c>
      <c r="G29" s="65">
        <f t="shared" ref="G29:I29" si="7">G28/(3600*G27)</f>
        <v>0.26109674423623658</v>
      </c>
      <c r="H29" s="64">
        <f t="shared" si="7"/>
        <v>8.4466156339982515E-2</v>
      </c>
      <c r="I29" s="66">
        <f t="shared" si="7"/>
        <v>8.3341003234824559E-2</v>
      </c>
      <c r="J29" s="65">
        <f t="shared" si="6"/>
        <v>6.3700245572468409E-2</v>
      </c>
      <c r="K29" s="198">
        <f>K28/(3600*K27)</f>
        <v>0.51287927634444896</v>
      </c>
      <c r="L29" s="166"/>
    </row>
    <row r="30" spans="1:13" ht="13.5" thickBot="1" x14ac:dyDescent="0.3">
      <c r="A30" s="201" t="s">
        <v>63</v>
      </c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8"/>
    </row>
    <row r="31" spans="1:13" x14ac:dyDescent="0.25">
      <c r="A31" s="70" t="s">
        <v>72</v>
      </c>
      <c r="B31" s="157" t="s">
        <v>71</v>
      </c>
      <c r="C31" s="158"/>
      <c r="D31" s="77"/>
      <c r="E31" s="77"/>
      <c r="F31" s="77"/>
      <c r="G31" s="77"/>
      <c r="H31" s="77"/>
      <c r="I31" s="77"/>
      <c r="J31" s="77"/>
      <c r="K31" s="77"/>
      <c r="L31" s="82"/>
    </row>
    <row r="32" spans="1:13" s="1" customFormat="1" ht="14.25" x14ac:dyDescent="0.25">
      <c r="A32" s="71" t="s">
        <v>70</v>
      </c>
      <c r="B32" s="202">
        <v>32.200000000000003</v>
      </c>
      <c r="C32" s="203"/>
      <c r="D32" s="78"/>
      <c r="E32" s="78"/>
      <c r="F32" s="78"/>
      <c r="G32" s="78"/>
      <c r="H32" s="78"/>
      <c r="I32" s="78"/>
      <c r="J32" s="78"/>
      <c r="K32" s="78"/>
      <c r="L32" s="76"/>
      <c r="M32" s="121" t="s">
        <v>86</v>
      </c>
    </row>
    <row r="33" spans="1:13" s="1" customFormat="1" x14ac:dyDescent="0.25">
      <c r="A33" s="71" t="s">
        <v>64</v>
      </c>
      <c r="B33" s="202">
        <v>35</v>
      </c>
      <c r="C33" s="203"/>
      <c r="D33" s="78"/>
      <c r="E33" s="78"/>
      <c r="F33" s="78"/>
      <c r="G33" s="78"/>
      <c r="H33" s="78"/>
      <c r="I33" s="78"/>
      <c r="J33" s="78"/>
      <c r="K33" s="78"/>
      <c r="L33" s="76"/>
      <c r="M33" s="121"/>
    </row>
    <row r="34" spans="1:13" s="1" customFormat="1" x14ac:dyDescent="0.25">
      <c r="A34" s="71" t="s">
        <v>65</v>
      </c>
      <c r="B34" s="204">
        <f>SQRT(B32*B33)</f>
        <v>33.570820663189039</v>
      </c>
      <c r="C34" s="205"/>
      <c r="D34" s="79"/>
      <c r="E34" s="78"/>
      <c r="F34" s="78"/>
      <c r="G34" s="78"/>
      <c r="H34" s="78"/>
      <c r="I34" s="78"/>
      <c r="J34" s="78"/>
      <c r="K34" s="78"/>
      <c r="L34" s="76"/>
      <c r="M34" s="121"/>
    </row>
    <row r="35" spans="1:13" s="1" customFormat="1" x14ac:dyDescent="0.25">
      <c r="A35" s="71" t="s">
        <v>66</v>
      </c>
      <c r="B35" s="159">
        <v>17500</v>
      </c>
      <c r="C35" s="160"/>
      <c r="D35" s="80"/>
      <c r="E35" s="78"/>
      <c r="F35" s="78"/>
      <c r="G35" s="78"/>
      <c r="H35" s="78"/>
      <c r="I35" s="78"/>
      <c r="J35" s="78"/>
      <c r="K35" s="78"/>
      <c r="L35" s="76"/>
      <c r="M35" s="121" t="s">
        <v>85</v>
      </c>
    </row>
    <row r="36" spans="1:13" s="1" customFormat="1" ht="13.5" thickBot="1" x14ac:dyDescent="0.3">
      <c r="A36" s="71" t="s">
        <v>69</v>
      </c>
      <c r="B36" s="206">
        <f>(B35/B34)/3600</f>
        <v>0.14480167642852412</v>
      </c>
      <c r="C36" s="207"/>
      <c r="D36" s="79"/>
      <c r="E36" s="78"/>
      <c r="F36" s="78"/>
      <c r="G36" s="78"/>
      <c r="H36" s="78"/>
      <c r="I36" s="78"/>
      <c r="J36" s="78"/>
      <c r="K36" s="78"/>
      <c r="L36" s="76"/>
      <c r="M36" s="121"/>
    </row>
    <row r="37" spans="1:13" ht="15.75" customHeight="1" thickBot="1" x14ac:dyDescent="0.3">
      <c r="A37" s="75" t="s">
        <v>50</v>
      </c>
      <c r="B37" s="199">
        <f>SUM(B9,B16,C16,B29,C29,B36)</f>
        <v>2.0322655790031128</v>
      </c>
      <c r="C37" s="200"/>
      <c r="D37" s="167">
        <f>SUM(D9,D16,E16,D29)</f>
        <v>1.2100648587560445</v>
      </c>
      <c r="E37" s="168"/>
      <c r="F37" s="167">
        <f>SUM(F9,F16,G16,F29,G29)</f>
        <v>1.5928808256638809</v>
      </c>
      <c r="G37" s="196"/>
      <c r="H37" s="167">
        <f>SUM(H9,H16,J16,H29,I29,J29)</f>
        <v>1.9592280664454167</v>
      </c>
      <c r="I37" s="196"/>
      <c r="J37" s="168"/>
      <c r="K37" s="199">
        <f>SUM(K9,K16,L16,K29)</f>
        <v>1.8844616131901626</v>
      </c>
      <c r="L37" s="200"/>
    </row>
    <row r="38" spans="1:13" ht="15" thickBot="1" x14ac:dyDescent="0.3">
      <c r="A38" s="75" t="s">
        <v>74</v>
      </c>
      <c r="B38" s="217">
        <f>B37*60</f>
        <v>121.93593474018677</v>
      </c>
      <c r="C38" s="218"/>
      <c r="D38" s="217">
        <f>D37*60</f>
        <v>72.60389152536267</v>
      </c>
      <c r="E38" s="218"/>
      <c r="F38" s="217">
        <f>F37*60</f>
        <v>95.572849539832859</v>
      </c>
      <c r="G38" s="218"/>
      <c r="H38" s="219">
        <f>H37*60</f>
        <v>117.55368398672501</v>
      </c>
      <c r="I38" s="220"/>
      <c r="J38" s="221"/>
      <c r="K38" s="217">
        <f>K37*60</f>
        <v>113.06769679140976</v>
      </c>
      <c r="L38" s="218"/>
    </row>
    <row r="39" spans="1:13" ht="13.5" thickBot="1" x14ac:dyDescent="0.3">
      <c r="A39" s="108" t="s">
        <v>78</v>
      </c>
      <c r="B39" s="154">
        <f>B38*0.6</f>
        <v>73.16156084411206</v>
      </c>
      <c r="C39" s="155"/>
      <c r="D39" s="154">
        <f>D38*0.6</f>
        <v>43.562334915217598</v>
      </c>
      <c r="E39" s="155"/>
      <c r="F39" s="154">
        <f>F38*0.6</f>
        <v>57.343709723899714</v>
      </c>
      <c r="G39" s="155"/>
      <c r="H39" s="156">
        <f>0.6*H38</f>
        <v>70.532210392034997</v>
      </c>
      <c r="I39" s="156"/>
      <c r="J39" s="156"/>
      <c r="K39" s="154">
        <f>K38*0.6</f>
        <v>67.84061807484585</v>
      </c>
      <c r="L39" s="155"/>
    </row>
  </sheetData>
  <mergeCells count="95">
    <mergeCell ref="B38:C38"/>
    <mergeCell ref="D38:E38"/>
    <mergeCell ref="F38:G38"/>
    <mergeCell ref="H38:J38"/>
    <mergeCell ref="K38:L38"/>
    <mergeCell ref="B3:C3"/>
    <mergeCell ref="F3:G3"/>
    <mergeCell ref="H3:J3"/>
    <mergeCell ref="H15:I15"/>
    <mergeCell ref="H16:I16"/>
    <mergeCell ref="H11:I11"/>
    <mergeCell ref="H12:I12"/>
    <mergeCell ref="H13:I13"/>
    <mergeCell ref="H14:I14"/>
    <mergeCell ref="A10:L10"/>
    <mergeCell ref="F8:G8"/>
    <mergeCell ref="B7:C7"/>
    <mergeCell ref="B8:C8"/>
    <mergeCell ref="B9:C9"/>
    <mergeCell ref="D7:E7"/>
    <mergeCell ref="K3:L3"/>
    <mergeCell ref="F37:G37"/>
    <mergeCell ref="H37:J37"/>
    <mergeCell ref="K28:L28"/>
    <mergeCell ref="K27:L27"/>
    <mergeCell ref="K29:L29"/>
    <mergeCell ref="K37:L37"/>
    <mergeCell ref="A30:L30"/>
    <mergeCell ref="B32:C32"/>
    <mergeCell ref="B33:C33"/>
    <mergeCell ref="B34:C34"/>
    <mergeCell ref="B35:C35"/>
    <mergeCell ref="B36:C36"/>
    <mergeCell ref="B31:C31"/>
    <mergeCell ref="B37:C37"/>
    <mergeCell ref="D26:E26"/>
    <mergeCell ref="K25:L25"/>
    <mergeCell ref="K19:L19"/>
    <mergeCell ref="K20:L20"/>
    <mergeCell ref="K21:L21"/>
    <mergeCell ref="K26:L26"/>
    <mergeCell ref="K22:L22"/>
    <mergeCell ref="K23:L23"/>
    <mergeCell ref="K24:L24"/>
    <mergeCell ref="K8:L8"/>
    <mergeCell ref="K9:L9"/>
    <mergeCell ref="A17:L17"/>
    <mergeCell ref="K4:L4"/>
    <mergeCell ref="K5:L5"/>
    <mergeCell ref="K6:L6"/>
    <mergeCell ref="K7:L7"/>
    <mergeCell ref="D8:E8"/>
    <mergeCell ref="D9:E9"/>
    <mergeCell ref="F9:G9"/>
    <mergeCell ref="H7:J7"/>
    <mergeCell ref="F7:G7"/>
    <mergeCell ref="H8:J8"/>
    <mergeCell ref="H9:J9"/>
    <mergeCell ref="F1:G1"/>
    <mergeCell ref="F4:G4"/>
    <mergeCell ref="F5:G5"/>
    <mergeCell ref="F6:G6"/>
    <mergeCell ref="K1:L1"/>
    <mergeCell ref="B39:C39"/>
    <mergeCell ref="D39:E39"/>
    <mergeCell ref="D1:E1"/>
    <mergeCell ref="D3:E3"/>
    <mergeCell ref="D4:E4"/>
    <mergeCell ref="D5:E5"/>
    <mergeCell ref="D6:E6"/>
    <mergeCell ref="A2:L2"/>
    <mergeCell ref="B1:C1"/>
    <mergeCell ref="B4:C4"/>
    <mergeCell ref="B5:C5"/>
    <mergeCell ref="B6:C6"/>
    <mergeCell ref="H1:J1"/>
    <mergeCell ref="H4:J4"/>
    <mergeCell ref="H5:J5"/>
    <mergeCell ref="H6:J6"/>
    <mergeCell ref="F39:G39"/>
    <mergeCell ref="H39:J39"/>
    <mergeCell ref="K39:L39"/>
    <mergeCell ref="D18:E18"/>
    <mergeCell ref="D19:E19"/>
    <mergeCell ref="D20:E20"/>
    <mergeCell ref="K18:L18"/>
    <mergeCell ref="D27:E27"/>
    <mergeCell ref="D28:E28"/>
    <mergeCell ref="D29:E29"/>
    <mergeCell ref="D37:E37"/>
    <mergeCell ref="D21:E21"/>
    <mergeCell ref="D22:E22"/>
    <mergeCell ref="D23:E23"/>
    <mergeCell ref="D24:E24"/>
    <mergeCell ref="D25:E25"/>
  </mergeCells>
  <phoneticPr fontId="11" type="noConversion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072CA-3B41-48B9-951A-36673A1382B6}">
  <dimension ref="A1:T46"/>
  <sheetViews>
    <sheetView zoomScale="90" zoomScaleNormal="90" workbookViewId="0">
      <selection activeCell="M1" sqref="M1"/>
    </sheetView>
  </sheetViews>
  <sheetFormatPr defaultColWidth="8.85546875" defaultRowHeight="12.75" x14ac:dyDescent="0.25"/>
  <cols>
    <col min="1" max="1" width="35.5703125" style="31" bestFit="1" customWidth="1"/>
    <col min="2" max="12" width="10.7109375" style="29" bestFit="1" customWidth="1"/>
    <col min="13" max="16384" width="8.85546875" style="29"/>
  </cols>
  <sheetData>
    <row r="1" spans="1:20" s="6" customFormat="1" ht="14.45" customHeight="1" x14ac:dyDescent="0.25">
      <c r="A1" s="28"/>
      <c r="B1" s="1"/>
      <c r="C1" s="1"/>
      <c r="D1" s="1"/>
      <c r="H1" s="2" t="s">
        <v>0</v>
      </c>
      <c r="I1" s="3" t="s">
        <v>1</v>
      </c>
      <c r="J1" s="3"/>
      <c r="K1" s="3"/>
      <c r="L1" s="3"/>
    </row>
    <row r="2" spans="1:20" s="7" customFormat="1" x14ac:dyDescent="0.25">
      <c r="A2" s="28"/>
      <c r="B2" s="1"/>
      <c r="C2" s="1"/>
      <c r="D2" s="1"/>
      <c r="H2" s="2" t="s">
        <v>2</v>
      </c>
      <c r="I2" s="4"/>
      <c r="J2" s="4"/>
      <c r="K2" s="4"/>
      <c r="L2" s="4"/>
    </row>
    <row r="3" spans="1:20" s="9" customFormat="1" x14ac:dyDescent="0.25">
      <c r="A3" s="28"/>
      <c r="B3" s="1"/>
      <c r="C3" s="1"/>
      <c r="D3" s="1"/>
      <c r="H3" s="2" t="s">
        <v>3</v>
      </c>
      <c r="I3" s="8">
        <v>45302</v>
      </c>
      <c r="J3" s="8"/>
      <c r="K3" s="8"/>
      <c r="L3" s="8"/>
    </row>
    <row r="4" spans="1:20" s="11" customFormat="1" x14ac:dyDescent="0.25">
      <c r="A4" s="28"/>
      <c r="B4" s="1"/>
      <c r="C4" s="1"/>
      <c r="D4" s="1"/>
      <c r="H4" s="2" t="s">
        <v>4</v>
      </c>
      <c r="I4" s="3" t="s">
        <v>21</v>
      </c>
      <c r="J4" s="3"/>
      <c r="K4" s="3"/>
      <c r="L4" s="3"/>
    </row>
    <row r="5" spans="1:20" s="11" customFormat="1" x14ac:dyDescent="0.25">
      <c r="A5" s="5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P5" s="10"/>
      <c r="Q5" s="10"/>
      <c r="R5" s="10"/>
      <c r="S5" s="10"/>
      <c r="T5" s="10"/>
    </row>
    <row r="6" spans="1:20" s="11" customFormat="1" ht="13.5" thickBot="1" x14ac:dyDescent="0.3">
      <c r="A6" s="133" t="s">
        <v>51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6"/>
      <c r="R6" s="10"/>
      <c r="S6" s="10"/>
      <c r="T6" s="10"/>
    </row>
    <row r="7" spans="1:20" s="11" customFormat="1" ht="14.65" customHeight="1" thickBot="1" x14ac:dyDescent="0.3">
      <c r="A7" s="73" t="s">
        <v>6</v>
      </c>
      <c r="B7" s="177" t="s">
        <v>38</v>
      </c>
      <c r="C7" s="178"/>
      <c r="D7" s="177" t="s">
        <v>39</v>
      </c>
      <c r="E7" s="178"/>
      <c r="F7" s="177" t="s">
        <v>40</v>
      </c>
      <c r="G7" s="178"/>
      <c r="H7" s="177" t="s">
        <v>41</v>
      </c>
      <c r="I7" s="183"/>
      <c r="J7" s="178"/>
      <c r="K7" s="177" t="s">
        <v>42</v>
      </c>
      <c r="L7" s="178"/>
      <c r="M7" s="6"/>
      <c r="N7" s="6"/>
      <c r="O7" s="5"/>
      <c r="R7" s="10"/>
      <c r="S7" s="10"/>
      <c r="T7" s="10"/>
    </row>
    <row r="8" spans="1:20" ht="13.5" thickBot="1" x14ac:dyDescent="0.3">
      <c r="A8" s="177" t="s">
        <v>28</v>
      </c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78"/>
    </row>
    <row r="9" spans="1:20" ht="14.45" customHeight="1" x14ac:dyDescent="0.25">
      <c r="A9" s="70" t="s">
        <v>60</v>
      </c>
      <c r="B9" s="157" t="s">
        <v>57</v>
      </c>
      <c r="C9" s="158"/>
      <c r="D9" s="157" t="s">
        <v>57</v>
      </c>
      <c r="E9" s="158"/>
      <c r="F9" s="157" t="s">
        <v>57</v>
      </c>
      <c r="G9" s="158"/>
      <c r="H9" s="157" t="s">
        <v>57</v>
      </c>
      <c r="I9" s="208"/>
      <c r="J9" s="158"/>
      <c r="K9" s="157" t="s">
        <v>57</v>
      </c>
      <c r="L9" s="158"/>
    </row>
    <row r="10" spans="1:20" ht="25.5" customHeight="1" x14ac:dyDescent="0.25">
      <c r="A10" s="71" t="s">
        <v>29</v>
      </c>
      <c r="B10" s="179" t="s">
        <v>54</v>
      </c>
      <c r="C10" s="180"/>
      <c r="D10" s="179" t="s">
        <v>55</v>
      </c>
      <c r="E10" s="180"/>
      <c r="F10" s="179" t="s">
        <v>56</v>
      </c>
      <c r="G10" s="180"/>
      <c r="H10" s="179" t="s">
        <v>54</v>
      </c>
      <c r="I10" s="184"/>
      <c r="J10" s="180"/>
      <c r="K10" s="179" t="s">
        <v>54</v>
      </c>
      <c r="L10" s="180"/>
    </row>
    <row r="11" spans="1:20" ht="14.45" customHeight="1" x14ac:dyDescent="0.25">
      <c r="A11" s="71" t="s">
        <v>30</v>
      </c>
      <c r="B11" s="181">
        <v>0.8</v>
      </c>
      <c r="C11" s="182"/>
      <c r="D11" s="181">
        <v>0.17</v>
      </c>
      <c r="E11" s="182"/>
      <c r="F11" s="181">
        <v>0.15</v>
      </c>
      <c r="G11" s="182"/>
      <c r="H11" s="181">
        <v>0.8</v>
      </c>
      <c r="I11" s="185"/>
      <c r="J11" s="182"/>
      <c r="K11" s="181">
        <v>0.8</v>
      </c>
      <c r="L11" s="182"/>
    </row>
    <row r="12" spans="1:20" ht="14.45" customHeight="1" x14ac:dyDescent="0.25">
      <c r="A12" s="71" t="s">
        <v>31</v>
      </c>
      <c r="B12" s="159">
        <v>100</v>
      </c>
      <c r="C12" s="160"/>
      <c r="D12" s="159">
        <v>100</v>
      </c>
      <c r="E12" s="160"/>
      <c r="F12" s="159">
        <v>100</v>
      </c>
      <c r="G12" s="160"/>
      <c r="H12" s="159">
        <v>100</v>
      </c>
      <c r="I12" s="186"/>
      <c r="J12" s="160"/>
      <c r="K12" s="159">
        <v>100</v>
      </c>
      <c r="L12" s="160"/>
    </row>
    <row r="13" spans="1:20" ht="14.25" x14ac:dyDescent="0.25">
      <c r="A13" s="71" t="s">
        <v>36</v>
      </c>
      <c r="B13" s="181">
        <v>3.08</v>
      </c>
      <c r="C13" s="182"/>
      <c r="D13" s="181">
        <v>3.08</v>
      </c>
      <c r="E13" s="182"/>
      <c r="F13" s="181">
        <v>3.08</v>
      </c>
      <c r="G13" s="182"/>
      <c r="H13" s="181">
        <v>3.08</v>
      </c>
      <c r="I13" s="185"/>
      <c r="J13" s="182"/>
      <c r="K13" s="181">
        <v>3.08</v>
      </c>
      <c r="L13" s="182"/>
    </row>
    <row r="14" spans="1:20" ht="14.45" customHeight="1" x14ac:dyDescent="0.25">
      <c r="A14" s="71" t="s">
        <v>35</v>
      </c>
      <c r="B14" s="175">
        <v>0.15989999999999999</v>
      </c>
      <c r="C14" s="176"/>
      <c r="D14" s="175">
        <v>9.5399999999999999E-2</v>
      </c>
      <c r="E14" s="176"/>
      <c r="F14" s="175">
        <v>3.4500000000000003E-2</v>
      </c>
      <c r="G14" s="176"/>
      <c r="H14" s="175">
        <v>8.1000000000000003E-2</v>
      </c>
      <c r="I14" s="189"/>
      <c r="J14" s="176"/>
      <c r="K14" s="175">
        <v>9.9299999999999999E-2</v>
      </c>
      <c r="L14" s="176"/>
    </row>
    <row r="15" spans="1:20" ht="15" thickBot="1" x14ac:dyDescent="0.3">
      <c r="A15" s="72" t="s">
        <v>37</v>
      </c>
      <c r="B15" s="165">
        <f>(0.007*((B11*B12)^0.8))/((B13^0.5)*(B14^0.4))</f>
        <v>0.27653829817755005</v>
      </c>
      <c r="C15" s="166"/>
      <c r="D15" s="165">
        <f>(0.007*((D11*D12)^0.8))/((D13^0.5)*(D14^0.4))</f>
        <v>9.8483271967907779E-2</v>
      </c>
      <c r="E15" s="166"/>
      <c r="F15" s="165">
        <f t="shared" ref="F15" si="0">(0.007*((F11*F12)^0.8))/((F13^0.5)*(F14^0.4))</f>
        <v>0.13383449082316551</v>
      </c>
      <c r="G15" s="166"/>
      <c r="H15" s="165">
        <f>(0.007*((H11*H12)^0.8))/((H13^0.5)*(H14^0.4))</f>
        <v>0.3629950174093321</v>
      </c>
      <c r="I15" s="190"/>
      <c r="J15" s="166"/>
      <c r="K15" s="165">
        <f>(0.007*((K11*K12)^0.8))/((K13^0.5)*(K14^0.4))</f>
        <v>0.33459155243412475</v>
      </c>
      <c r="L15" s="166"/>
    </row>
    <row r="16" spans="1:20" ht="13.5" thickBot="1" x14ac:dyDescent="0.3">
      <c r="A16" s="177" t="s">
        <v>32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78"/>
    </row>
    <row r="17" spans="1:12" ht="14.65" customHeight="1" x14ac:dyDescent="0.25">
      <c r="A17" s="70" t="s">
        <v>60</v>
      </c>
      <c r="B17" s="36" t="s">
        <v>57</v>
      </c>
      <c r="C17" s="38" t="s">
        <v>58</v>
      </c>
      <c r="D17" s="36" t="s">
        <v>57</v>
      </c>
      <c r="E17" s="38" t="s">
        <v>58</v>
      </c>
      <c r="F17" s="36" t="s">
        <v>57</v>
      </c>
      <c r="G17" s="38" t="s">
        <v>58</v>
      </c>
      <c r="H17" s="157" t="s">
        <v>57</v>
      </c>
      <c r="I17" s="208"/>
      <c r="J17" s="38" t="s">
        <v>58</v>
      </c>
      <c r="K17" s="36" t="s">
        <v>57</v>
      </c>
      <c r="L17" s="38" t="s">
        <v>58</v>
      </c>
    </row>
    <row r="18" spans="1:12" ht="14.45" customHeight="1" x14ac:dyDescent="0.25">
      <c r="A18" s="71" t="s">
        <v>33</v>
      </c>
      <c r="B18" s="67" t="s">
        <v>53</v>
      </c>
      <c r="C18" s="30" t="s">
        <v>53</v>
      </c>
      <c r="D18" s="67" t="s">
        <v>53</v>
      </c>
      <c r="E18" s="30" t="s">
        <v>53</v>
      </c>
      <c r="F18" s="67" t="s">
        <v>53</v>
      </c>
      <c r="G18" s="30" t="s">
        <v>53</v>
      </c>
      <c r="H18" s="202" t="s">
        <v>53</v>
      </c>
      <c r="I18" s="214"/>
      <c r="J18" s="30" t="s">
        <v>53</v>
      </c>
      <c r="K18" s="67" t="s">
        <v>53</v>
      </c>
      <c r="L18" s="30" t="s">
        <v>53</v>
      </c>
    </row>
    <row r="19" spans="1:12" x14ac:dyDescent="0.25">
      <c r="A19" s="71" t="s">
        <v>31</v>
      </c>
      <c r="B19" s="62">
        <f>2584-B12</f>
        <v>2484</v>
      </c>
      <c r="C19" s="42">
        <v>1310</v>
      </c>
      <c r="D19" s="62">
        <f>1501-D12</f>
        <v>1401</v>
      </c>
      <c r="E19" s="42">
        <v>1336</v>
      </c>
      <c r="F19" s="62">
        <f>3167-F12</f>
        <v>3067</v>
      </c>
      <c r="G19" s="42">
        <v>1089</v>
      </c>
      <c r="H19" s="159">
        <f>1844-H12</f>
        <v>1744</v>
      </c>
      <c r="I19" s="186"/>
      <c r="J19" s="42">
        <v>2701</v>
      </c>
      <c r="K19" s="62">
        <f>1149-K12</f>
        <v>1049</v>
      </c>
      <c r="L19" s="42">
        <v>2579</v>
      </c>
    </row>
    <row r="20" spans="1:12" x14ac:dyDescent="0.25">
      <c r="A20" s="71" t="s">
        <v>34</v>
      </c>
      <c r="B20" s="63">
        <v>0.122</v>
      </c>
      <c r="C20" s="60">
        <v>4.1099999999999998E-2</v>
      </c>
      <c r="D20" s="63">
        <v>8.7300000000000003E-2</v>
      </c>
      <c r="E20" s="60">
        <v>3.2899999999999999E-2</v>
      </c>
      <c r="F20" s="63">
        <v>5.5199999999999999E-2</v>
      </c>
      <c r="G20" s="60">
        <v>3.1699999999999999E-2</v>
      </c>
      <c r="H20" s="175">
        <v>9.9400000000000002E-2</v>
      </c>
      <c r="I20" s="189"/>
      <c r="J20" s="60">
        <v>7.2999999999999995E-2</v>
      </c>
      <c r="K20" s="63">
        <v>6.2399999999999997E-2</v>
      </c>
      <c r="L20" s="60">
        <v>3.0300000000000001E-2</v>
      </c>
    </row>
    <row r="21" spans="1:12" x14ac:dyDescent="0.25">
      <c r="A21" s="71" t="s">
        <v>43</v>
      </c>
      <c r="B21" s="61">
        <v>5.8</v>
      </c>
      <c r="C21" s="41">
        <v>3.2</v>
      </c>
      <c r="D21" s="61">
        <v>4.8499999999999996</v>
      </c>
      <c r="E21" s="41">
        <v>2.9</v>
      </c>
      <c r="F21" s="61">
        <v>3.8</v>
      </c>
      <c r="G21" s="41">
        <v>2.9</v>
      </c>
      <c r="H21" s="181">
        <v>5</v>
      </c>
      <c r="I21" s="185"/>
      <c r="J21" s="41">
        <v>4.25</v>
      </c>
      <c r="K21" s="61">
        <v>4.1500000000000004</v>
      </c>
      <c r="L21" s="41">
        <v>2.8</v>
      </c>
    </row>
    <row r="22" spans="1:12" ht="15" thickBot="1" x14ac:dyDescent="0.3">
      <c r="A22" s="72" t="s">
        <v>37</v>
      </c>
      <c r="B22" s="68">
        <f>B19/(3600*B21)</f>
        <v>0.11896551724137931</v>
      </c>
      <c r="C22" s="32">
        <f>C19/(3600*C21)</f>
        <v>0.11371527777777778</v>
      </c>
      <c r="D22" s="68">
        <f>D19/(3600*D21)</f>
        <v>8.0240549828178701E-2</v>
      </c>
      <c r="E22" s="32">
        <f>E19/(3600*E21)</f>
        <v>0.12796934865900383</v>
      </c>
      <c r="F22" s="68">
        <f t="shared" ref="F22:L22" si="1">F19/(3600*F21)</f>
        <v>0.22419590643274853</v>
      </c>
      <c r="G22" s="32">
        <f t="shared" si="1"/>
        <v>0.10431034482758621</v>
      </c>
      <c r="H22" s="222">
        <f>H19/(3600*H21)</f>
        <v>9.6888888888888886E-2</v>
      </c>
      <c r="I22" s="211"/>
      <c r="J22" s="32">
        <f t="shared" si="1"/>
        <v>0.17653594771241829</v>
      </c>
      <c r="K22" s="68">
        <f t="shared" si="1"/>
        <v>7.0214190093708162E-2</v>
      </c>
      <c r="L22" s="32">
        <f t="shared" si="1"/>
        <v>0.25585317460317458</v>
      </c>
    </row>
    <row r="23" spans="1:12" ht="13.5" thickBot="1" x14ac:dyDescent="0.3">
      <c r="A23" s="177" t="s">
        <v>44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78"/>
    </row>
    <row r="24" spans="1:12" ht="14.45" customHeight="1" x14ac:dyDescent="0.25">
      <c r="A24" s="70" t="s">
        <v>60</v>
      </c>
      <c r="B24" s="36" t="s">
        <v>57</v>
      </c>
      <c r="C24" s="38" t="s">
        <v>58</v>
      </c>
      <c r="D24" s="157" t="s">
        <v>57</v>
      </c>
      <c r="E24" s="158"/>
      <c r="F24" s="36" t="s">
        <v>57</v>
      </c>
      <c r="G24" s="38" t="s">
        <v>58</v>
      </c>
      <c r="H24" s="36" t="s">
        <v>57</v>
      </c>
      <c r="I24" s="37" t="s">
        <v>58</v>
      </c>
      <c r="J24" s="38" t="s">
        <v>59</v>
      </c>
      <c r="K24" s="161" t="s">
        <v>57</v>
      </c>
      <c r="L24" s="162"/>
    </row>
    <row r="25" spans="1:12" ht="14.45" customHeight="1" x14ac:dyDescent="0.25">
      <c r="A25" s="71" t="s">
        <v>61</v>
      </c>
      <c r="B25" s="61">
        <v>187.70150000000001</v>
      </c>
      <c r="C25" s="41">
        <v>632.72986000000003</v>
      </c>
      <c r="D25" s="181">
        <v>566.64670000000001</v>
      </c>
      <c r="E25" s="182"/>
      <c r="F25" s="61">
        <v>584.99623999999994</v>
      </c>
      <c r="G25" s="41">
        <v>444.44</v>
      </c>
      <c r="H25" s="61">
        <v>480.08267999999998</v>
      </c>
      <c r="I25" s="40">
        <v>461.91127</v>
      </c>
      <c r="J25" s="41">
        <v>870.23224000000005</v>
      </c>
      <c r="K25" s="223">
        <v>135.99352999999999</v>
      </c>
      <c r="L25" s="182"/>
    </row>
    <row r="26" spans="1:12" ht="14.45" customHeight="1" x14ac:dyDescent="0.25">
      <c r="A26" s="71" t="s">
        <v>62</v>
      </c>
      <c r="B26" s="61">
        <v>6.95181</v>
      </c>
      <c r="C26" s="41">
        <v>28.12181</v>
      </c>
      <c r="D26" s="181">
        <v>130.76499999999999</v>
      </c>
      <c r="E26" s="182"/>
      <c r="F26" s="61">
        <v>58.49962</v>
      </c>
      <c r="G26" s="41">
        <v>279.83291000000003</v>
      </c>
      <c r="H26" s="61">
        <v>48.008499999999998</v>
      </c>
      <c r="I26" s="40">
        <v>67.927940000000007</v>
      </c>
      <c r="J26" s="41">
        <v>87.02346</v>
      </c>
      <c r="K26" s="223">
        <v>6.4760600000000004</v>
      </c>
      <c r="L26" s="182"/>
    </row>
    <row r="27" spans="1:12" ht="14.45" customHeight="1" x14ac:dyDescent="0.25">
      <c r="A27" s="71" t="s">
        <v>73</v>
      </c>
      <c r="B27" s="61">
        <v>18.770299999999999</v>
      </c>
      <c r="C27" s="41">
        <v>44.3093</v>
      </c>
      <c r="D27" s="181">
        <v>10.70044</v>
      </c>
      <c r="E27" s="182"/>
      <c r="F27" s="61">
        <v>40.863430000000001</v>
      </c>
      <c r="G27" s="41">
        <v>5.6351599999999999</v>
      </c>
      <c r="H27" s="61">
        <v>24.70467</v>
      </c>
      <c r="I27" s="40">
        <v>17.73648</v>
      </c>
      <c r="J27" s="41">
        <v>60.944110000000002</v>
      </c>
      <c r="K27" s="223">
        <v>3.4753799999999999</v>
      </c>
      <c r="L27" s="182"/>
    </row>
    <row r="28" spans="1:12" ht="14.45" customHeight="1" x14ac:dyDescent="0.25">
      <c r="A28" s="71" t="s">
        <v>45</v>
      </c>
      <c r="B28" s="69">
        <f>B27*(B25+B26)/2</f>
        <v>1826.8505123465</v>
      </c>
      <c r="C28" s="44">
        <f t="shared" ref="C28:L28" si="2">((C25+C26)/2)*C27</f>
        <v>14640.937450765501</v>
      </c>
      <c r="D28" s="163">
        <f>((D25+D26)/2)*D27</f>
        <v>3731.3060255740002</v>
      </c>
      <c r="E28" s="164"/>
      <c r="F28" s="69">
        <f t="shared" si="2"/>
        <v>13147.724015199899</v>
      </c>
      <c r="G28" s="44">
        <f t="shared" si="2"/>
        <v>2040.6968657578</v>
      </c>
      <c r="H28" s="69">
        <f t="shared" si="2"/>
        <v>6523.1591659053001</v>
      </c>
      <c r="I28" s="43">
        <f t="shared" si="2"/>
        <v>4698.7412756903996</v>
      </c>
      <c r="J28" s="44">
        <f t="shared" si="2"/>
        <v>29169.548339463501</v>
      </c>
      <c r="K28" s="197">
        <f>((K25+K26)/2)*K27</f>
        <v>247.56798184709996</v>
      </c>
      <c r="L28" s="164">
        <f t="shared" si="2"/>
        <v>0</v>
      </c>
    </row>
    <row r="29" spans="1:12" ht="14.25" x14ac:dyDescent="0.25">
      <c r="A29" s="71" t="s">
        <v>46</v>
      </c>
      <c r="B29" s="69">
        <f>B26+2*(((B25-B26)/2)^2+B27^2)^0.5</f>
        <v>191.55881713530923</v>
      </c>
      <c r="C29" s="44">
        <f t="shared" ref="C29:L29" si="3">C26+2*(((C25-C26)/2)^2+C27^2)^0.5</f>
        <v>639.18985072113162</v>
      </c>
      <c r="D29" s="163">
        <f>D26+2*(((D25-D26)/2)^2+D27^2)^0.5</f>
        <v>567.17175299502924</v>
      </c>
      <c r="E29" s="164"/>
      <c r="F29" s="69">
        <f t="shared" si="3"/>
        <v>591.30161935518629</v>
      </c>
      <c r="G29" s="44">
        <f t="shared" si="3"/>
        <v>444.82537707401673</v>
      </c>
      <c r="H29" s="69">
        <f t="shared" si="3"/>
        <v>482.89857795293278</v>
      </c>
      <c r="I29" s="43">
        <f t="shared" si="3"/>
        <v>463.50498080122054</v>
      </c>
      <c r="J29" s="44">
        <f t="shared" si="3"/>
        <v>879.66002945907871</v>
      </c>
      <c r="K29" s="197">
        <f>K26+2*(((K25-K26)/2)^2+K27^2)^0.5</f>
        <v>136.17990766759428</v>
      </c>
      <c r="L29" s="164">
        <f t="shared" si="3"/>
        <v>0</v>
      </c>
    </row>
    <row r="30" spans="1:12" ht="14.45" customHeight="1" x14ac:dyDescent="0.25">
      <c r="A30" s="71" t="s">
        <v>47</v>
      </c>
      <c r="B30" s="69">
        <f>B28/B29</f>
        <v>9.5367602476689353</v>
      </c>
      <c r="C30" s="44">
        <f>C28/C29</f>
        <v>22.905459832079075</v>
      </c>
      <c r="D30" s="163">
        <f>D28/D29</f>
        <v>6.5787938236880104</v>
      </c>
      <c r="E30" s="164"/>
      <c r="F30" s="69">
        <f t="shared" ref="F30:J30" si="4">F28/F29</f>
        <v>22.235224096861899</v>
      </c>
      <c r="G30" s="44">
        <f t="shared" si="4"/>
        <v>4.5876358924959408</v>
      </c>
      <c r="H30" s="69">
        <f t="shared" si="4"/>
        <v>13.508342048878637</v>
      </c>
      <c r="I30" s="43">
        <f>I28/I29</f>
        <v>10.137412693102233</v>
      </c>
      <c r="J30" s="44">
        <f t="shared" si="4"/>
        <v>33.160024739785513</v>
      </c>
      <c r="K30" s="197">
        <f>K28/K29</f>
        <v>1.8179479343707314</v>
      </c>
      <c r="L30" s="164"/>
    </row>
    <row r="31" spans="1:12" x14ac:dyDescent="0.25">
      <c r="A31" s="71" t="s">
        <v>48</v>
      </c>
      <c r="B31" s="63">
        <v>4.3900000000000002E-2</v>
      </c>
      <c r="C31" s="60">
        <v>6.1899999999999997E-2</v>
      </c>
      <c r="D31" s="175">
        <v>4.8599999999999997E-2</v>
      </c>
      <c r="E31" s="176"/>
      <c r="F31" s="63">
        <v>4.24E-2</v>
      </c>
      <c r="G31" s="60">
        <v>3.3300000000000003E-2</v>
      </c>
      <c r="H31" s="63">
        <v>3.5499999999999997E-2</v>
      </c>
      <c r="I31" s="59">
        <v>4.65E-2</v>
      </c>
      <c r="J31" s="60">
        <v>3.9800000000000002E-2</v>
      </c>
      <c r="K31" s="191">
        <v>2.9899999999999999E-2</v>
      </c>
      <c r="L31" s="176"/>
    </row>
    <row r="32" spans="1:12" ht="14.45" customHeight="1" x14ac:dyDescent="0.25">
      <c r="A32" s="71" t="s">
        <v>30</v>
      </c>
      <c r="B32" s="63">
        <v>0.1</v>
      </c>
      <c r="C32" s="60">
        <v>0.1</v>
      </c>
      <c r="D32" s="175">
        <v>0.1</v>
      </c>
      <c r="E32" s="176"/>
      <c r="F32" s="63">
        <v>0.1</v>
      </c>
      <c r="G32" s="60">
        <v>0.1</v>
      </c>
      <c r="H32" s="63">
        <v>0.1</v>
      </c>
      <c r="I32" s="59">
        <v>0.1</v>
      </c>
      <c r="J32" s="60">
        <v>0.1</v>
      </c>
      <c r="K32" s="191">
        <v>0.1</v>
      </c>
      <c r="L32" s="176"/>
    </row>
    <row r="33" spans="1:12" ht="14.45" customHeight="1" x14ac:dyDescent="0.25">
      <c r="A33" s="71" t="s">
        <v>49</v>
      </c>
      <c r="B33" s="69">
        <f>(1.49*(B30^(2/3))*(B31^(1/2)))/B32</f>
        <v>14.039525769182154</v>
      </c>
      <c r="C33" s="44">
        <f>(1.49*(C30^(2/3))*(C31^(1/2)))/C32</f>
        <v>29.899064685237075</v>
      </c>
      <c r="D33" s="163">
        <f>(1.49*(D30^(2/3))*(D31^(1/2)))/D32</f>
        <v>11.532813094400673</v>
      </c>
      <c r="E33" s="164"/>
      <c r="F33" s="69">
        <f t="shared" ref="F33:J33" si="5">(1.49*(F30^(2/3))*(F31^(1/2)))/F32</f>
        <v>24.260339303874236</v>
      </c>
      <c r="G33" s="44">
        <f t="shared" si="5"/>
        <v>7.5070218470453876</v>
      </c>
      <c r="H33" s="69">
        <f t="shared" si="5"/>
        <v>15.923375780771627</v>
      </c>
      <c r="I33" s="43">
        <f t="shared" si="5"/>
        <v>15.049803498214404</v>
      </c>
      <c r="J33" s="44">
        <f t="shared" si="5"/>
        <v>30.681107690709563</v>
      </c>
      <c r="K33" s="197">
        <f>(1.49*(K30^(2/3))*(K31^(1/2)))/K32</f>
        <v>3.8377453712066214</v>
      </c>
      <c r="L33" s="164"/>
    </row>
    <row r="34" spans="1:12" x14ac:dyDescent="0.25">
      <c r="A34" s="71" t="s">
        <v>31</v>
      </c>
      <c r="B34" s="62">
        <v>3290</v>
      </c>
      <c r="C34" s="42">
        <v>7197</v>
      </c>
      <c r="D34" s="159">
        <v>6826</v>
      </c>
      <c r="E34" s="160"/>
      <c r="F34" s="62">
        <v>8987</v>
      </c>
      <c r="G34" s="42">
        <v>9181</v>
      </c>
      <c r="H34" s="62">
        <v>6061</v>
      </c>
      <c r="I34" s="39">
        <v>5744</v>
      </c>
      <c r="J34" s="42">
        <v>8780</v>
      </c>
      <c r="K34" s="192">
        <v>8889</v>
      </c>
      <c r="L34" s="160"/>
    </row>
    <row r="35" spans="1:12" ht="15" thickBot="1" x14ac:dyDescent="0.3">
      <c r="A35" s="72" t="s">
        <v>37</v>
      </c>
      <c r="B35" s="64">
        <f>B34/(3600*B33)</f>
        <v>6.5093999891003854E-2</v>
      </c>
      <c r="C35" s="65">
        <f>C34/(3600*C33)</f>
        <v>6.686385302392997E-2</v>
      </c>
      <c r="D35" s="165">
        <f>D34/(3600*D33)</f>
        <v>0.16441011361154351</v>
      </c>
      <c r="E35" s="166"/>
      <c r="F35" s="64">
        <f t="shared" ref="F35:J35" si="6">F34/(3600*F33)</f>
        <v>0.10289999894973563</v>
      </c>
      <c r="G35" s="65">
        <f t="shared" si="6"/>
        <v>0.33971897641159998</v>
      </c>
      <c r="H35" s="64">
        <f t="shared" si="6"/>
        <v>0.10573204666463792</v>
      </c>
      <c r="I35" s="66">
        <f t="shared" si="6"/>
        <v>0.1060183646746525</v>
      </c>
      <c r="J35" s="65">
        <f t="shared" si="6"/>
        <v>7.9491552699950285E-2</v>
      </c>
      <c r="K35" s="198">
        <f>K34/(3600*K33)</f>
        <v>0.64338991460768502</v>
      </c>
      <c r="L35" s="166"/>
    </row>
    <row r="36" spans="1:12" ht="13.5" thickBot="1" x14ac:dyDescent="0.3">
      <c r="A36" s="201" t="s">
        <v>63</v>
      </c>
      <c r="B36" s="187"/>
      <c r="C36" s="187"/>
      <c r="D36" s="187"/>
      <c r="E36" s="187"/>
      <c r="F36" s="187"/>
      <c r="G36" s="187"/>
      <c r="H36" s="187"/>
      <c r="I36" s="187"/>
      <c r="J36" s="187"/>
      <c r="K36" s="187"/>
      <c r="L36" s="188"/>
    </row>
    <row r="37" spans="1:12" x14ac:dyDescent="0.25">
      <c r="A37" s="70" t="s">
        <v>72</v>
      </c>
      <c r="B37" s="157" t="s">
        <v>71</v>
      </c>
      <c r="C37" s="158"/>
      <c r="D37" s="77"/>
      <c r="E37" s="77"/>
      <c r="F37" s="77"/>
      <c r="G37" s="77"/>
      <c r="H37" s="77"/>
      <c r="I37" s="77"/>
      <c r="J37" s="77"/>
      <c r="K37" s="77"/>
      <c r="L37" s="82"/>
    </row>
    <row r="38" spans="1:12" s="1" customFormat="1" ht="14.25" x14ac:dyDescent="0.25">
      <c r="A38" s="71" t="s">
        <v>70</v>
      </c>
      <c r="B38" s="202">
        <v>32.200000000000003</v>
      </c>
      <c r="C38" s="203"/>
      <c r="D38" s="78"/>
      <c r="E38" s="78"/>
      <c r="F38" s="78"/>
      <c r="G38" s="78"/>
      <c r="H38" s="78"/>
      <c r="I38" s="78"/>
      <c r="J38" s="78"/>
      <c r="K38" s="78"/>
      <c r="L38" s="76"/>
    </row>
    <row r="39" spans="1:12" s="1" customFormat="1" x14ac:dyDescent="0.25">
      <c r="A39" s="71" t="s">
        <v>64</v>
      </c>
      <c r="B39" s="202">
        <v>70</v>
      </c>
      <c r="C39" s="203"/>
      <c r="D39" s="78"/>
      <c r="E39" s="78"/>
      <c r="F39" s="78"/>
      <c r="G39" s="78"/>
      <c r="H39" s="78"/>
      <c r="I39" s="78"/>
      <c r="J39" s="78"/>
      <c r="K39" s="78"/>
      <c r="L39" s="76"/>
    </row>
    <row r="40" spans="1:12" s="1" customFormat="1" x14ac:dyDescent="0.25">
      <c r="A40" s="71" t="s">
        <v>65</v>
      </c>
      <c r="B40" s="204">
        <f>SQRT(B38*B39)</f>
        <v>47.47630988187688</v>
      </c>
      <c r="C40" s="205"/>
      <c r="D40" s="79"/>
      <c r="E40" s="78"/>
      <c r="F40" s="78"/>
      <c r="G40" s="78"/>
      <c r="H40" s="78"/>
      <c r="I40" s="78"/>
      <c r="J40" s="78"/>
      <c r="K40" s="78"/>
      <c r="L40" s="76"/>
    </row>
    <row r="41" spans="1:12" s="1" customFormat="1" x14ac:dyDescent="0.25">
      <c r="A41" s="71" t="s">
        <v>66</v>
      </c>
      <c r="B41" s="159">
        <v>17508</v>
      </c>
      <c r="C41" s="160"/>
      <c r="D41" s="80"/>
      <c r="E41" s="78"/>
      <c r="F41" s="78"/>
      <c r="G41" s="78"/>
      <c r="H41" s="78"/>
      <c r="I41" s="78"/>
      <c r="J41" s="78"/>
      <c r="K41" s="78"/>
      <c r="L41" s="76"/>
    </row>
    <row r="42" spans="1:12" s="1" customFormat="1" x14ac:dyDescent="0.25">
      <c r="A42" s="71" t="s">
        <v>67</v>
      </c>
      <c r="B42" s="204">
        <f>B41/B40</f>
        <v>368.77339547999128</v>
      </c>
      <c r="C42" s="205"/>
      <c r="D42" s="79"/>
      <c r="E42" s="78"/>
      <c r="F42" s="78"/>
      <c r="G42" s="78"/>
      <c r="H42" s="78"/>
      <c r="I42" s="78"/>
      <c r="J42" s="78"/>
      <c r="K42" s="78"/>
      <c r="L42" s="76"/>
    </row>
    <row r="43" spans="1:12" s="1" customFormat="1" x14ac:dyDescent="0.25">
      <c r="A43" s="71" t="s">
        <v>68</v>
      </c>
      <c r="B43" s="206">
        <f>B42/60</f>
        <v>6.1462232579998544</v>
      </c>
      <c r="C43" s="207"/>
      <c r="D43" s="81"/>
      <c r="E43" s="78"/>
      <c r="F43" s="78"/>
      <c r="G43" s="78"/>
      <c r="H43" s="78"/>
      <c r="I43" s="78"/>
      <c r="J43" s="78"/>
      <c r="K43" s="78"/>
      <c r="L43" s="76"/>
    </row>
    <row r="44" spans="1:12" s="1" customFormat="1" ht="13.5" thickBot="1" x14ac:dyDescent="0.3">
      <c r="A44" s="74" t="s">
        <v>69</v>
      </c>
      <c r="B44" s="224">
        <f>B43/60</f>
        <v>0.10243705429999757</v>
      </c>
      <c r="C44" s="225"/>
      <c r="D44" s="81"/>
      <c r="E44" s="78"/>
      <c r="F44" s="78"/>
      <c r="G44" s="78"/>
      <c r="H44" s="78"/>
      <c r="I44" s="78"/>
      <c r="J44" s="78"/>
      <c r="K44" s="78"/>
      <c r="L44" s="76"/>
    </row>
    <row r="45" spans="1:12" ht="15.75" customHeight="1" thickBot="1" x14ac:dyDescent="0.3">
      <c r="A45" s="75" t="s">
        <v>50</v>
      </c>
      <c r="B45" s="199">
        <f>SUM(B15,B22,C22,B35,C35,B44)</f>
        <v>0.7436140004116385</v>
      </c>
      <c r="C45" s="200"/>
      <c r="D45" s="167">
        <f>SUM(D15,D22,E22,D35)</f>
        <v>0.47110328406663382</v>
      </c>
      <c r="E45" s="168"/>
      <c r="F45" s="167">
        <f>SUM(F15,F22,G22,F35,G35)</f>
        <v>0.90495971744483583</v>
      </c>
      <c r="G45" s="196"/>
      <c r="H45" s="167">
        <f>SUM(H15,H22,J22,H35,I35,J35)</f>
        <v>0.92766181804988013</v>
      </c>
      <c r="I45" s="196"/>
      <c r="J45" s="168"/>
      <c r="K45" s="199">
        <f>SUM(K15,K22,L22,K35)</f>
        <v>1.3040488317386925</v>
      </c>
      <c r="L45" s="200"/>
    </row>
    <row r="46" spans="1:12" ht="15" thickBot="1" x14ac:dyDescent="0.3">
      <c r="A46" s="75" t="s">
        <v>74</v>
      </c>
      <c r="B46" s="199">
        <f>B45*60</f>
        <v>44.616840024698313</v>
      </c>
      <c r="C46" s="200"/>
      <c r="D46" s="199">
        <f>D45*60</f>
        <v>28.26619704399803</v>
      </c>
      <c r="E46" s="200"/>
      <c r="F46" s="199">
        <f>F45*60</f>
        <v>54.29758304669015</v>
      </c>
      <c r="G46" s="200"/>
      <c r="H46" s="167">
        <f>H45*60</f>
        <v>55.659709082992805</v>
      </c>
      <c r="I46" s="196"/>
      <c r="J46" s="168"/>
      <c r="K46" s="199">
        <f>K45*60</f>
        <v>78.242929904321542</v>
      </c>
      <c r="L46" s="200"/>
    </row>
  </sheetData>
  <mergeCells count="93">
    <mergeCell ref="D45:E45"/>
    <mergeCell ref="F45:G45"/>
    <mergeCell ref="H45:J45"/>
    <mergeCell ref="K45:L45"/>
    <mergeCell ref="B46:C46"/>
    <mergeCell ref="D46:E46"/>
    <mergeCell ref="F46:G46"/>
    <mergeCell ref="H46:J46"/>
    <mergeCell ref="K46:L46"/>
    <mergeCell ref="B45:C45"/>
    <mergeCell ref="B40:C40"/>
    <mergeCell ref="B41:C41"/>
    <mergeCell ref="B42:C42"/>
    <mergeCell ref="B43:C43"/>
    <mergeCell ref="B44:C44"/>
    <mergeCell ref="B39:C39"/>
    <mergeCell ref="D32:E32"/>
    <mergeCell ref="K32:L32"/>
    <mergeCell ref="D33:E33"/>
    <mergeCell ref="K33:L33"/>
    <mergeCell ref="D34:E34"/>
    <mergeCell ref="K34:L34"/>
    <mergeCell ref="D35:E35"/>
    <mergeCell ref="K35:L35"/>
    <mergeCell ref="A36:L36"/>
    <mergeCell ref="B37:C37"/>
    <mergeCell ref="B38:C38"/>
    <mergeCell ref="D29:E29"/>
    <mergeCell ref="K29:L29"/>
    <mergeCell ref="D30:E30"/>
    <mergeCell ref="K30:L30"/>
    <mergeCell ref="D31:E31"/>
    <mergeCell ref="K31:L31"/>
    <mergeCell ref="D26:E26"/>
    <mergeCell ref="K26:L26"/>
    <mergeCell ref="D27:E27"/>
    <mergeCell ref="K27:L27"/>
    <mergeCell ref="D28:E28"/>
    <mergeCell ref="K28:L28"/>
    <mergeCell ref="H22:I22"/>
    <mergeCell ref="A23:L23"/>
    <mergeCell ref="D24:E24"/>
    <mergeCell ref="K24:L24"/>
    <mergeCell ref="D25:E25"/>
    <mergeCell ref="K25:L25"/>
    <mergeCell ref="H21:I21"/>
    <mergeCell ref="B14:C14"/>
    <mergeCell ref="D14:E14"/>
    <mergeCell ref="F14:G14"/>
    <mergeCell ref="H14:J14"/>
    <mergeCell ref="A16:L16"/>
    <mergeCell ref="H17:I17"/>
    <mergeCell ref="H18:I18"/>
    <mergeCell ref="H19:I19"/>
    <mergeCell ref="H20:I20"/>
    <mergeCell ref="K14:L14"/>
    <mergeCell ref="B15:C15"/>
    <mergeCell ref="D15:E15"/>
    <mergeCell ref="F15:G15"/>
    <mergeCell ref="H15:J15"/>
    <mergeCell ref="K15:L15"/>
    <mergeCell ref="B12:C12"/>
    <mergeCell ref="D12:E12"/>
    <mergeCell ref="F12:G12"/>
    <mergeCell ref="H12:J12"/>
    <mergeCell ref="K12:L12"/>
    <mergeCell ref="B13:C13"/>
    <mergeCell ref="D13:E13"/>
    <mergeCell ref="F13:G13"/>
    <mergeCell ref="H13:J13"/>
    <mergeCell ref="K13:L13"/>
    <mergeCell ref="B10:C10"/>
    <mergeCell ref="D10:E10"/>
    <mergeCell ref="F10:G10"/>
    <mergeCell ref="H10:J10"/>
    <mergeCell ref="K10:L10"/>
    <mergeCell ref="B11:C11"/>
    <mergeCell ref="D11:E11"/>
    <mergeCell ref="F11:G11"/>
    <mergeCell ref="H11:J11"/>
    <mergeCell ref="K11:L11"/>
    <mergeCell ref="A8:L8"/>
    <mergeCell ref="B9:C9"/>
    <mergeCell ref="D9:E9"/>
    <mergeCell ref="F9:G9"/>
    <mergeCell ref="H9:J9"/>
    <mergeCell ref="K9:L9"/>
    <mergeCell ref="A6:L6"/>
    <mergeCell ref="B7:C7"/>
    <mergeCell ref="D7:E7"/>
    <mergeCell ref="F7:G7"/>
    <mergeCell ref="H7:J7"/>
    <mergeCell ref="K7:L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BC117-5819-496B-B6C3-B9C284F94116}">
  <dimension ref="A1"/>
  <sheetViews>
    <sheetView zoomScale="90" zoomScaleNormal="90" workbookViewId="0">
      <selection activeCell="O1" sqref="O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Loss Method OLD</vt:lpstr>
      <vt:lpstr>Initial and Loss Method</vt:lpstr>
      <vt:lpstr>Lag Method OLD</vt:lpstr>
      <vt:lpstr>Velocity Method</vt:lpstr>
      <vt:lpstr>Velocity Method OLD</vt:lpstr>
      <vt:lpstr>Velocity Method References</vt:lpstr>
      <vt:lpstr>CN</vt:lpstr>
      <vt:lpstr>'Initial and Loss Method'!Print_Area</vt:lpstr>
      <vt:lpstr>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Schell, Kyra</dc:creator>
  <cp:lastModifiedBy>Speranza, Carlo</cp:lastModifiedBy>
  <cp:lastPrinted>2025-09-02T14:04:24Z</cp:lastPrinted>
  <dcterms:created xsi:type="dcterms:W3CDTF">2024-01-11T15:11:07Z</dcterms:created>
  <dcterms:modified xsi:type="dcterms:W3CDTF">2025-09-22T09:10:49Z</dcterms:modified>
</cp:coreProperties>
</file>